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20" windowWidth="8790" windowHeight="8715" firstSheet="1" activeTab="9"/>
  </bookViews>
  <sheets>
    <sheet name="2004" sheetId="1" r:id="rId1"/>
    <sheet name="2007" sheetId="2" r:id="rId2"/>
    <sheet name="2005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</sheets>
  <externalReferences>
    <externalReference r:id="rId13"/>
  </externalReferences>
  <definedNames/>
  <calcPr fullCalcOnLoad="1"/>
</workbook>
</file>

<file path=xl/comments10.xml><?xml version="1.0" encoding="utf-8"?>
<comments xmlns="http://schemas.openxmlformats.org/spreadsheetml/2006/main">
  <authors>
    <author>Коростелева Ирина Владимировна</author>
  </authors>
  <commentList>
    <comment ref="B3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<sst xmlns="http://schemas.openxmlformats.org/spreadsheetml/2006/main" count="1004" uniqueCount="221">
  <si>
    <t>№    п/п</t>
  </si>
  <si>
    <t>Наименование       субабонентов</t>
  </si>
  <si>
    <t>Фирма "Металл"                         Малышев М.И.</t>
  </si>
  <si>
    <t>Январь</t>
  </si>
  <si>
    <t>Кол-во    (кВт.ч.)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</si>
  <si>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</si>
  <si>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</si>
  <si>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</si>
  <si>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</si>
  <si>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</si>
  <si>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</si>
  <si>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</si>
  <si>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</si>
  <si>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</si>
  <si>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</si>
  <si>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</si>
  <si>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</si>
  <si>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АО "Печать"                           Пичугина  Л.Б</t>
  </si>
  <si>
    <t>Предприн.Мариничев А.А.  Мини Маркет "Аптека"</t>
  </si>
  <si>
    <t>Гаражный кооператив у "Гидроузла"     А.В.Горьков</t>
  </si>
  <si>
    <t xml:space="preserve">Гаражный кооператив  Б.С.Седов  </t>
  </si>
  <si>
    <t>ПУ-81 (бюджетник)</t>
  </si>
  <si>
    <t>Киоск "Ромашка"  Ромашкина Н.С.</t>
  </si>
  <si>
    <t>МУП "Городское жилищное хозяйство". Масленников</t>
  </si>
  <si>
    <t xml:space="preserve"> ООО "Ремстрой"</t>
  </si>
  <si>
    <t xml:space="preserve">                                                               Субабоненты от Балахнинского отделения ОАО "Нижегородская сбытовая компания"</t>
  </si>
  <si>
    <t>ООО "Специнструмент"</t>
  </si>
  <si>
    <t>ООО "Металлоформ"</t>
  </si>
  <si>
    <t>"РосАЛит"</t>
  </si>
  <si>
    <t>ООО "Скиф"                   С.С.Филиппов</t>
  </si>
  <si>
    <t>Садоводческое некоммерческое товарищество им.Чкалова председатель                      Карасева Е.А</t>
  </si>
  <si>
    <t xml:space="preserve">Гаражный коопер. Пред.Медведев </t>
  </si>
  <si>
    <t xml:space="preserve">"Промстройбанк"    </t>
  </si>
  <si>
    <t>Садовый домик                         Зрюнин А.Г.</t>
  </si>
  <si>
    <t>ООО "Копейка -Поволжье"</t>
  </si>
  <si>
    <t>Некоммерческое садовод. товарищество №1 "ЗЗГТ" Н.Ф.Тюхалкин</t>
  </si>
  <si>
    <t xml:space="preserve">ООО "Дарина" Цветкова Н.А. </t>
  </si>
  <si>
    <t xml:space="preserve"> ЗАО ДОЗ</t>
  </si>
  <si>
    <t xml:space="preserve"> ОАО Стройавтодвигатель </t>
  </si>
  <si>
    <t>Вл.Частного дома                     Шалашов М.А.</t>
  </si>
  <si>
    <t>Садовый дом                   Юденко Р.Ю.</t>
  </si>
  <si>
    <t xml:space="preserve">МУП ЖКХ "Федуринское"          </t>
  </si>
  <si>
    <t>Вл.Частного доиа         Ершов О.Н.</t>
  </si>
  <si>
    <t>Вл.Частного дома Бомштейн А.Э.</t>
  </si>
  <si>
    <t>Вл.Частного дома         Ершов О.Н.</t>
  </si>
  <si>
    <t>Вл.Частного дома          Илясова Э.С.</t>
  </si>
  <si>
    <t>ООО Сладкая жизнь</t>
  </si>
  <si>
    <t>Потребление эл.энергии субабонентами ЗМЗ в 2008г.</t>
  </si>
  <si>
    <t>ООО "Мир"</t>
  </si>
  <si>
    <t>ТОО "Монстр"                                                    Пуртов С.Н.</t>
  </si>
  <si>
    <t xml:space="preserve">ВСЕГО  передано </t>
  </si>
  <si>
    <t>2008г.</t>
  </si>
  <si>
    <t>Дом №12</t>
  </si>
  <si>
    <t>Тир</t>
  </si>
  <si>
    <t>Дом №15</t>
  </si>
  <si>
    <t>НП "Волна" (гостивой дом №12)</t>
  </si>
  <si>
    <t>Частный дом 1         вл. Клочай В.В.</t>
  </si>
  <si>
    <t>Дом №7    вл. Обозов С.А.</t>
  </si>
  <si>
    <t>Дом №8   вл. Люлина Н.А.</t>
  </si>
  <si>
    <t>Дом №9   вл. Щеголев С.А.</t>
  </si>
  <si>
    <t>Дом №10   вл.Полякова Н.И.</t>
  </si>
  <si>
    <t>Дом №11 вл.Нестеров Н.Н.</t>
  </si>
  <si>
    <t>Дом №13  вл.Братанов С.В.</t>
  </si>
  <si>
    <t>ООО "Дайдо Металл Русь"</t>
  </si>
  <si>
    <t>ООО "Скиф"   С.С.Филиппов</t>
  </si>
  <si>
    <t>ТОО "Монстр"       Пуртов С.Н.</t>
  </si>
  <si>
    <t>Вл.Частного дома  Илясова Э.С.</t>
  </si>
  <si>
    <t>Вл.Частного дома Ершов О.Н.</t>
  </si>
  <si>
    <t>Частный дом 1  вл. Клочай В.В.</t>
  </si>
  <si>
    <t>АО "Печать"    Пичугина  Л.Б</t>
  </si>
  <si>
    <t>СН2</t>
  </si>
  <si>
    <t>ВН</t>
  </si>
  <si>
    <t>НН</t>
  </si>
  <si>
    <t>Садоводческое некоммерческое товарищество им.Чкалова председатель    Карасева Е.А</t>
  </si>
  <si>
    <t>Вл.Частного дома   Шалашов М.А.</t>
  </si>
  <si>
    <t>Потребление эл.энергии сторонними потребителями запитанных от сетей ОАО ЗМЗ в 2009г.</t>
  </si>
  <si>
    <t>Напряжение</t>
  </si>
  <si>
    <t>Дом №12  вл. Клочай В.В.</t>
  </si>
  <si>
    <t>Дом №15   вл. Клочай В.В.</t>
  </si>
  <si>
    <t xml:space="preserve"> I квартал2009г.</t>
  </si>
  <si>
    <t>Потребление эл.энергии субабонентами ЗМЗ в 2004г.</t>
  </si>
  <si>
    <t>Уровень напряжения</t>
  </si>
  <si>
    <t>Номер договора</t>
  </si>
  <si>
    <t>2004г.</t>
  </si>
  <si>
    <t>мощность, кВт</t>
  </si>
  <si>
    <t>Оплата                                   ( руб.)</t>
  </si>
  <si>
    <t>Оплата                ( руб.)</t>
  </si>
  <si>
    <t xml:space="preserve">                                                              Субабоненты  от филиала "Энергосбыт" "Нижновэнерго"</t>
  </si>
  <si>
    <t>Часовая мастерская     Куликов А.Н.</t>
  </si>
  <si>
    <t>0,4кВ</t>
  </si>
  <si>
    <t>16-30/Э11                  от 13.03.98г.</t>
  </si>
  <si>
    <t>Ч.П. Постникова Н.В.    Мини Маркет</t>
  </si>
  <si>
    <t>16-30/Э30               от 5.03.98.</t>
  </si>
  <si>
    <t>Киоск "Мороженое"    Анисин В.Е.</t>
  </si>
  <si>
    <t>дог. 16/7-68                  от 28.07.99</t>
  </si>
  <si>
    <t>71-55/1769              от 01.07.03</t>
  </si>
  <si>
    <t>"Промстройбанк"    Бедняков  А.Б.</t>
  </si>
  <si>
    <t>16-24/24                     от 1.03.02</t>
  </si>
  <si>
    <t>Мини маркет "Барс" Шеронова А.М.</t>
  </si>
  <si>
    <t>71-55/1929                 от 01.07.2003г.</t>
  </si>
  <si>
    <t>Предприн.Цветкова Н.А.    Закусочная "Премьер"</t>
  </si>
  <si>
    <t>71-55/540    от 01.07.03</t>
  </si>
  <si>
    <t>ДОЗ</t>
  </si>
  <si>
    <t>10кВ</t>
  </si>
  <si>
    <t>16-24/27   от 13.04.2001г.</t>
  </si>
  <si>
    <t>Стройавтодвигатель   Мясников О.А.</t>
  </si>
  <si>
    <t>16-30/Э 13                  от  13.04.98г.</t>
  </si>
  <si>
    <t>71-55/1767                от 01.07.03</t>
  </si>
  <si>
    <t>Торговый центр "Волга"  директор Кудрявцева Н.В.</t>
  </si>
  <si>
    <t>10кВ и 0,4кВ</t>
  </si>
  <si>
    <t>16-24/23 от 10.04.2002г.</t>
  </si>
  <si>
    <t>16-24/60                   от 29.09.2001</t>
  </si>
  <si>
    <t>Сады ЗЗГТ     В.Г.Скобинев</t>
  </si>
  <si>
    <t>16-24/61                   от 29.09.2001</t>
  </si>
  <si>
    <t>16-30/э29                      от 10.02.2000</t>
  </si>
  <si>
    <t>16-24/153                     от  10.12.03</t>
  </si>
  <si>
    <t>ППС</t>
  </si>
  <si>
    <t>14/03                         от 28.03.03</t>
  </si>
  <si>
    <t>71-55/1393            от 01.07.03</t>
  </si>
  <si>
    <t>Сад №1 им.Чкалова  М.Г.Бильдяев</t>
  </si>
  <si>
    <t>16-30/э1              от 10.03.98г.</t>
  </si>
  <si>
    <t>16-24/79  от 1.05.2004г.</t>
  </si>
  <si>
    <t>ООО "Стройинвест"</t>
  </si>
  <si>
    <t>71-55/121д            от 29.092004г.</t>
  </si>
  <si>
    <t xml:space="preserve">                                                              Субабоненты от ЗЗГТ</t>
  </si>
  <si>
    <t>ТОО "Монстр"</t>
  </si>
  <si>
    <t>16-30/э15</t>
  </si>
  <si>
    <t>Б.М.Червяков</t>
  </si>
  <si>
    <t>от 13.04.98 г.</t>
  </si>
  <si>
    <t>71-55/537               от 01.07.03.</t>
  </si>
  <si>
    <t>71-55/541                               от   01.07.03</t>
  </si>
  <si>
    <t>ТОО "Монстр"                  Пуртов С.Н.</t>
  </si>
  <si>
    <t>71-55/536                от 01.07.03.</t>
  </si>
  <si>
    <t xml:space="preserve">                                                               Субабоненты от "Балахнинские эл.сети"</t>
  </si>
  <si>
    <t>Садовый домик                       Шалашов А.М.</t>
  </si>
  <si>
    <t>71-55/535             от 01.07.03</t>
  </si>
  <si>
    <t>Садовый домик                      Тренькин В.М.</t>
  </si>
  <si>
    <t>71-28/1                       от   01.12.02.</t>
  </si>
  <si>
    <t>Садовый домик            Илясова Э.С.</t>
  </si>
  <si>
    <t>71-55/539                        от 01.07.03.</t>
  </si>
  <si>
    <t>МУП ЖКХ "Федуринское"            Антонов В.А.</t>
  </si>
  <si>
    <t>71/55/1764       от 01.07.03</t>
  </si>
  <si>
    <t>Садовый домик                    Зрюнин А.Г.</t>
  </si>
  <si>
    <t>71-55/1765                от 14.07.03</t>
  </si>
  <si>
    <t>Садовый домик                          Бомштейн А.Э.</t>
  </si>
  <si>
    <t>71-55/538             от 01.07.03</t>
  </si>
  <si>
    <t>Гаражи Суханов Н.Ф.</t>
  </si>
  <si>
    <t>71-55/2055              от 01.08 2003г.</t>
  </si>
  <si>
    <t>ВСЕГО  продано</t>
  </si>
  <si>
    <t>Всего закуплено для субабонентов в т.ч.</t>
  </si>
  <si>
    <t>от филиала  "Энергосбыт"</t>
  </si>
  <si>
    <t>ЗЗГТ</t>
  </si>
  <si>
    <t>БЭС "Энергосбыт"</t>
  </si>
  <si>
    <t>Потребление эл.энергии субабонентами ЗМЗ в 2005г.</t>
  </si>
  <si>
    <t>2005г.</t>
  </si>
  <si>
    <t xml:space="preserve">                                                              Субабоненты  от  ОАО "Нижегородская сбытовая компания"</t>
  </si>
  <si>
    <t>71-55/2090  от 01.08.03</t>
  </si>
  <si>
    <t>71-55/2089  от 01.08.03</t>
  </si>
  <si>
    <t>71-55/137д от 14.12.04</t>
  </si>
  <si>
    <t>71-55/158д от 10.12.04</t>
  </si>
  <si>
    <t>71-55/133д от 14.12.04</t>
  </si>
  <si>
    <t>71-55/2087 от 01.08.03</t>
  </si>
  <si>
    <t>Некоммерческое садовон товарищество №1 "ЗЗГТ" Н.Ф.Тюхалкин</t>
  </si>
  <si>
    <t>№71-55/287д  от 1.07.2005г.</t>
  </si>
  <si>
    <t>71-55/262д от 25.04.05</t>
  </si>
  <si>
    <t>71-55/314д от 25.12.2005г.</t>
  </si>
  <si>
    <t>ООО "Компания Альянс"</t>
  </si>
  <si>
    <t>71-55/159д            от 01.04.2005г.</t>
  </si>
  <si>
    <t>ООО Ремсервис"</t>
  </si>
  <si>
    <t>71-55/211д от 01.01.2005г.</t>
  </si>
  <si>
    <t>71-55/209д. От 1.01.2005г.</t>
  </si>
  <si>
    <t>71-55/210д от 1.01.2005г.</t>
  </si>
  <si>
    <t>№71-55/285д от 01.07.2005г</t>
  </si>
  <si>
    <t xml:space="preserve">                                                              Субабоненты от ОАО " ЗЗГТ"</t>
  </si>
  <si>
    <t>71-55/136д от 14.12.04</t>
  </si>
  <si>
    <t>№71-55/286д  от 1.06.05</t>
  </si>
  <si>
    <t>Садовый домик                       Шалашова В.В.</t>
  </si>
  <si>
    <t>Садовый домик                      Тренькина Т.Н</t>
  </si>
  <si>
    <t>71-55/189д от 28.09.04</t>
  </si>
  <si>
    <t>71-55/140 от 01.12.04</t>
  </si>
  <si>
    <t>Частный дом 1 на БР"Урковская гора"            Клочай В.В.</t>
  </si>
  <si>
    <t>16-24/22</t>
  </si>
  <si>
    <t>"Заволжская мебельная фабрика"</t>
  </si>
  <si>
    <t>Конюшня</t>
  </si>
  <si>
    <t>Стороннии потребители имеющие договора с  Балахнинским отделением                                                               ОАО "Нижегородская сбытовая компания"</t>
  </si>
  <si>
    <t>Потребление эл.энергии сторонними потребителями запитанных от сетей ОАО ЗМЗ в 2010г.</t>
  </si>
  <si>
    <t>Дом №9   вл. Лиморенко М.А</t>
  </si>
  <si>
    <t>Вл.Частного дома   Тренькина Т.Н.</t>
  </si>
  <si>
    <t>Жилой дом от ТП 617</t>
  </si>
  <si>
    <t>Потребление эл.энергии сторонними потребителями запитанных от сетей ОАО ЗМЗ в 2011г.</t>
  </si>
  <si>
    <t>Вл.Частного дома Шалашов А.М.</t>
  </si>
  <si>
    <t>ООО "Астра"  (ОАО Стройавтодвигатель)</t>
  </si>
  <si>
    <t>%</t>
  </si>
  <si>
    <t xml:space="preserve"> ЗАО ЗДОЗ</t>
  </si>
  <si>
    <t>Потребление эл.энергии сторонними потребителями запитанных от сетей ОАО ЗМЗ в 2012г.</t>
  </si>
  <si>
    <t>АО "Роспечать"    Пичугина  Л.Б</t>
  </si>
  <si>
    <t xml:space="preserve">ОАО "АКБ Саровбизнесбанк" №2   </t>
  </si>
  <si>
    <t>ЗФ ООО "УАЗ-Техинструмент"</t>
  </si>
  <si>
    <t>ООО "Скиф" + ТОО "Монстр"</t>
  </si>
  <si>
    <t>ООО "Леони Вайэринг Системс"</t>
  </si>
  <si>
    <t>Гаражный кооператив пр.Плешков</t>
  </si>
  <si>
    <t>Потребление эл.энергии сторонними потребителями запитанных от сетей ОАО ЗМЗ в 2013г.</t>
  </si>
  <si>
    <t>ООО "ЗМЗ-Автокомпонент"</t>
  </si>
  <si>
    <t>ООО "СОЛЛЕРС СПЕЦИАЛЬНЫЕ МАШИНЫ"</t>
  </si>
  <si>
    <t>Частный дом вл.Бубнов А.П.(СНТ "Тополёк)</t>
  </si>
  <si>
    <t>СН3</t>
  </si>
  <si>
    <t>Потребление эл.энергии сторонними потребителями запитанных от сетей ОАО ЗМЗ в 2014г.</t>
  </si>
  <si>
    <t>Садоводческое общество "Учитель"</t>
  </si>
  <si>
    <t>ООО "Мотор"</t>
  </si>
  <si>
    <t>итого передача из сетей</t>
  </si>
  <si>
    <t xml:space="preserve">АО "Роспечать"    </t>
  </si>
  <si>
    <t xml:space="preserve">ООО "Астра"  </t>
  </si>
  <si>
    <t xml:space="preserve">Некоммерческое садовод. товарищество №1 "ЗЗГТ" </t>
  </si>
  <si>
    <t>ООО "Феррум"</t>
  </si>
  <si>
    <t>МУП "Тепловодоканал"</t>
  </si>
  <si>
    <t>Поступление в сеть ОАО "ЗМЗ"</t>
  </si>
  <si>
    <t>предъявлено ОАО "МРСК Центра и Приволжья"</t>
  </si>
  <si>
    <t>тариф</t>
  </si>
  <si>
    <t>б/НДС</t>
  </si>
  <si>
    <t>с/НДС</t>
  </si>
  <si>
    <t>2014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</si>
</sst>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#&quot;-&quot;##\р"/>
    <numFmt numFmtId="176" formatCode="#,##0_р_."/>
    <numFmt numFmtId="177" formatCode="#,##0.0_р_."/>
    <numFmt numFmtId="178" formatCode="#,##0.00_р_."/>
    <numFmt numFmtId="179" formatCode="0&quot;-&quot;##\р"/>
    <numFmt numFmtId="180" formatCode="#,##0.00&quot;р.&quot;"/>
    <numFmt numFmtId="181" formatCode="000000"/>
    <numFmt numFmtId="182" formatCode="_-* #,##0.000_р_._-;\-* #,##0.000_р_._-;_-* &quot;-&quot;_р_._-;_-@_-"/>
    <numFmt numFmtId="183" formatCode="_-* #,##0.000_р_._-;\-* #,##0.000_р_._-;_-* &quot;-&quot;?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_-* #,##0.00000000_р_._-;\-* #,##0.00000000_р_._-;_-* &quot;-&quot;??_р_._-;_-@_-"/>
    <numFmt numFmtId="192" formatCode="_-* #,##0.000000000_р_._-;\-* #,##0.000000000_р_._-;_-* &quot;-&quot;??_р_._-;_-@_-"/>
    <numFmt numFmtId="193" formatCode="_-* #,##0.0000000000_р_._-;\-* #,##0.0000000000_р_._-;_-* &quot;-&quot;??_р_._-;_-@_-"/>
    <numFmt numFmtId="194" formatCode="_-* #,##0.00000000000_р_._-;\-* #,##0.00000000000_р_._-;_-* &quot;-&quot;??_р_._-;_-@_-"/>
    <numFmt numFmtId="195" formatCode="_-* #,##0.000000000000_р_._-;\-* #,##0.000000000000_р_._-;_-* &quot;-&quot;??_р_._-;_-@_-"/>
    <numFmt numFmtId="196" formatCode="_-* #,##0.0000000000000_р_._-;\-* #,##0.0000000000000_р_._-;_-* &quot;-&quot;??_р_._-;_-@_-"/>
    <numFmt numFmtId="197" formatCode="_-* #,##0.00000000000000_р_._-;\-* #,##0.00000000000000_р_._-;_-* &quot;-&quot;??_р_._-;_-@_-"/>
    <numFmt numFmtId="198" formatCode="_-* #,##0.000000000000000_р_._-;\-* #,##0.000000000000000_р_._-;_-* &quot;-&quot;??_р_._-;_-@_-"/>
    <numFmt numFmtId="199" formatCode="_-* #,##0.0000000000000000_р_._-;\-* #,##0.0000000000000000_р_._-;_-* &quot;-&quot;??_р_._-;_-@_-"/>
    <numFmt numFmtId="200" formatCode="_-* #,##0.00000000000000000_р_._-;\-* #,##0.00000000000000000_р_._-;_-* &quot;-&quot;??_р_._-;_-@_-"/>
    <numFmt numFmtId="201" formatCode="_-* #,##0.000000000000000000_р_._-;\-* #,##0.000000000000000000_р_._-;_-* &quot;-&quot;??_р_._-;_-@_-"/>
    <numFmt numFmtId="202" formatCode="_-* #,##0.0000000000000000000_р_._-;\-* #,##0.0000000000000000000_р_._-;_-* &quot;-&quot;??_р_._-;_-@_-"/>
    <numFmt numFmtId="203" formatCode="_-* #,##0.00000000000000000000_р_._-;\-* #,##0.00000000000000000000_р_._-;_-* &quot;-&quot;??_р_._-;_-@_-"/>
    <numFmt numFmtId="204" formatCode="_-* #,##0.000000000000000000000_р_._-;\-* #,##0.000000000000000000000_р_._-;_-* &quot;-&quot;??_р_._-;_-@_-"/>
    <numFmt numFmtId="205" formatCode="_-* #,##0.0000000000000000000000_р_._-;\-* #,##0.0000000000000000000000_р_._-;_-* &quot;-&quot;??_р_._-;_-@_-"/>
    <numFmt numFmtId="206" formatCode="_-* #,##0.00000000000000000000000_р_._-;\-* #,##0.00000000000000000000000_р_._-;_-* &quot;-&quot;??_р_._-;_-@_-"/>
    <numFmt numFmtId="207" formatCode="_-* #,##0.000000000000000000000000_р_._-;\-* #,##0.000000000000000000000000_р_._-;_-* &quot;-&quot;??_р_._-;_-@_-"/>
    <numFmt numFmtId="208" formatCode="_-* #,##0.0000000000000000000000000_р_._-;\-* #,##0.0000000000000000000000000_р_._-;_-* &quot;-&quot;??_р_._-;_-@_-"/>
    <numFmt numFmtId="209" formatCode="_-* #,##0.00000000000000000000000000_р_._-;\-* #,##0.00000000000000000000000000_р_._-;_-* &quot;-&quot;??_р_._-;_-@_-"/>
    <numFmt numFmtId="210" formatCode="0.000"/>
    <numFmt numFmtId="211" formatCode="0.0000"/>
    <numFmt numFmtId="212" formatCode="_-* #,##0.0000_р_._-;\-* #,##0.0000_р_._-;_-* &quot;-&quot;????_р_._-;_-@_-"/>
    <numFmt numFmtId="213" formatCode="_-* #,##0.000_р_._-;\-* #,##0.000_р_._-;_-* &quot;-&quot;????_р_._-;_-@_-"/>
    <numFmt numFmtId="214" formatCode="_-* #,##0.00_р_._-;\-* #,##0.00_р_._-;_-* &quot;-&quot;????_р_._-;_-@_-"/>
    <numFmt numFmtId="215" formatCode="_-* #,##0.0_р_._-;\-* #,##0.0_р_._-;_-* &quot;-&quot;????_р_._-;_-@_-"/>
    <numFmt numFmtId="216" formatCode="_-* #,##0_р_._-;\-* #,##0_р_._-;_-* &quot;-&quot;????_р_._-;_-@_-"/>
    <numFmt numFmtId="217" formatCode="0.0000000"/>
    <numFmt numFmtId="218" formatCode="0.000000"/>
    <numFmt numFmtId="219" formatCode="0.00000"/>
  </numFmts>
  <fonts count="60">
    <font>
      <sz val="10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12"/>
      <name val="Arial Cyr"/>
      <family val="2"/>
    </font>
    <font>
      <b/>
      <sz val="24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7"/>
      <name val="Arial Cyr"/>
      <family val="2"/>
    </font>
    <font>
      <b/>
      <sz val="10"/>
      <color indexed="9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i/>
      <sz val="10"/>
      <color indexed="8"/>
      <name val="Arial Cyr"/>
      <family val="2"/>
    </font>
    <font>
      <b/>
      <i/>
      <sz val="10"/>
      <color indexed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10"/>
      <color indexed="10"/>
      <name val="Arial Cyr"/>
      <family val="2"/>
    </font>
    <font>
      <sz val="8"/>
      <name val="Tahom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65">
    <xf numFmtId="0" fontId="0" fillId="0" borderId="0" xfId="0" applyAlignment="1">
      <alignment/>
    </xf>
    <xf numFmtId="43" fontId="2" fillId="0" borderId="10" xfId="58" applyNumberFormat="1" applyFont="1" applyBorder="1" applyAlignment="1">
      <alignment horizontal="center" vertical="center"/>
    </xf>
    <xf numFmtId="187" fontId="2" fillId="0" borderId="11" xfId="58" applyNumberFormat="1" applyFont="1" applyBorder="1" applyAlignment="1">
      <alignment horizontal="center" vertical="center"/>
    </xf>
    <xf numFmtId="187" fontId="2" fillId="0" borderId="0" xfId="58" applyNumberFormat="1" applyFont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87" fontId="2" fillId="33" borderId="12" xfId="58" applyNumberFormat="1" applyFont="1" applyFill="1" applyBorder="1" applyAlignment="1">
      <alignment horizontal="center" vertical="center"/>
    </xf>
    <xf numFmtId="187" fontId="2" fillId="33" borderId="10" xfId="58" applyNumberFormat="1" applyFont="1" applyFill="1" applyBorder="1" applyAlignment="1">
      <alignment horizontal="center" vertical="center"/>
    </xf>
    <xf numFmtId="187" fontId="2" fillId="33" borderId="13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7" fontId="3" fillId="33" borderId="17" xfId="0" applyNumberFormat="1" applyFont="1" applyFill="1" applyBorder="1" applyAlignment="1">
      <alignment horizontal="center" vertical="center"/>
    </xf>
    <xf numFmtId="187" fontId="2" fillId="33" borderId="18" xfId="58" applyNumberFormat="1" applyFont="1" applyFill="1" applyBorder="1" applyAlignment="1">
      <alignment horizontal="center" vertical="center"/>
    </xf>
    <xf numFmtId="187" fontId="3" fillId="33" borderId="19" xfId="0" applyNumberFormat="1" applyFont="1" applyFill="1" applyBorder="1" applyAlignment="1">
      <alignment horizontal="center" vertical="center"/>
    </xf>
    <xf numFmtId="187" fontId="3" fillId="33" borderId="20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87" fontId="2" fillId="33" borderId="25" xfId="58" applyNumberFormat="1" applyFont="1" applyFill="1" applyBorder="1" applyAlignment="1">
      <alignment horizontal="center" vertical="center" wrapText="1"/>
    </xf>
    <xf numFmtId="41" fontId="2" fillId="33" borderId="26" xfId="59" applyFont="1" applyFill="1" applyBorder="1" applyAlignment="1">
      <alignment horizontal="center" vertical="center" wrapText="1"/>
    </xf>
    <xf numFmtId="41" fontId="2" fillId="33" borderId="25" xfId="59" applyFont="1" applyFill="1" applyBorder="1" applyAlignment="1">
      <alignment horizontal="center" vertical="center" wrapText="1"/>
    </xf>
    <xf numFmtId="187" fontId="2" fillId="33" borderId="26" xfId="58" applyNumberFormat="1" applyFont="1" applyFill="1" applyBorder="1" applyAlignment="1">
      <alignment horizontal="center" vertical="center" wrapText="1"/>
    </xf>
    <xf numFmtId="187" fontId="2" fillId="33" borderId="24" xfId="58" applyNumberFormat="1" applyFont="1" applyFill="1" applyBorder="1" applyAlignment="1">
      <alignment horizontal="center" vertical="center" wrapText="1"/>
    </xf>
    <xf numFmtId="187" fontId="6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187" fontId="2" fillId="33" borderId="25" xfId="58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187" fontId="2" fillId="33" borderId="25" xfId="58" applyNumberFormat="1" applyFont="1" applyFill="1" applyBorder="1" applyAlignment="1">
      <alignment vertical="center" wrapText="1"/>
    </xf>
    <xf numFmtId="187" fontId="2" fillId="33" borderId="26" xfId="58" applyNumberFormat="1" applyFont="1" applyFill="1" applyBorder="1" applyAlignment="1">
      <alignment horizontal="center" vertical="center"/>
    </xf>
    <xf numFmtId="187" fontId="2" fillId="33" borderId="25" xfId="58" applyNumberFormat="1" applyFont="1" applyFill="1" applyBorder="1" applyAlignment="1">
      <alignment/>
    </xf>
    <xf numFmtId="187" fontId="2" fillId="33" borderId="25" xfId="58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43" fontId="2" fillId="33" borderId="25" xfId="58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43" fontId="2" fillId="34" borderId="27" xfId="58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87" fontId="2" fillId="33" borderId="30" xfId="58" applyNumberFormat="1" applyFont="1" applyFill="1" applyBorder="1" applyAlignment="1">
      <alignment horizontal="center" vertical="center"/>
    </xf>
    <xf numFmtId="187" fontId="2" fillId="33" borderId="31" xfId="58" applyNumberFormat="1" applyFont="1" applyFill="1" applyBorder="1" applyAlignment="1">
      <alignment horizontal="center" vertical="center" wrapText="1"/>
    </xf>
    <xf numFmtId="187" fontId="2" fillId="33" borderId="30" xfId="58" applyNumberFormat="1" applyFont="1" applyFill="1" applyBorder="1" applyAlignment="1">
      <alignment horizontal="center" vertical="center" wrapText="1"/>
    </xf>
    <xf numFmtId="187" fontId="2" fillId="33" borderId="31" xfId="58" applyNumberFormat="1" applyFont="1" applyFill="1" applyBorder="1" applyAlignment="1">
      <alignment horizontal="center" vertical="center"/>
    </xf>
    <xf numFmtId="187" fontId="2" fillId="33" borderId="29" xfId="58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187" fontId="2" fillId="33" borderId="33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33" borderId="3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187" fontId="2" fillId="33" borderId="35" xfId="58" applyNumberFormat="1" applyFont="1" applyFill="1" applyBorder="1" applyAlignment="1">
      <alignment horizontal="center" vertical="center"/>
    </xf>
    <xf numFmtId="187" fontId="2" fillId="33" borderId="36" xfId="58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187" fontId="2" fillId="33" borderId="36" xfId="58" applyNumberFormat="1" applyFont="1" applyFill="1" applyBorder="1" applyAlignment="1">
      <alignment horizontal="center" vertical="center" wrapText="1"/>
    </xf>
    <xf numFmtId="171" fontId="6" fillId="0" borderId="0" xfId="0" applyNumberFormat="1" applyFont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41" fontId="2" fillId="33" borderId="38" xfId="59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41" fontId="2" fillId="33" borderId="39" xfId="59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187" fontId="2" fillId="33" borderId="12" xfId="58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187" fontId="2" fillId="33" borderId="42" xfId="58" applyNumberFormat="1" applyFont="1" applyFill="1" applyBorder="1" applyAlignment="1">
      <alignment horizontal="center" vertical="center"/>
    </xf>
    <xf numFmtId="187" fontId="2" fillId="33" borderId="42" xfId="58" applyNumberFormat="1" applyFont="1" applyFill="1" applyBorder="1" applyAlignment="1">
      <alignment horizontal="center" vertical="center" wrapText="1"/>
    </xf>
    <xf numFmtId="187" fontId="2" fillId="33" borderId="43" xfId="58" applyNumberFormat="1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187" fontId="6" fillId="0" borderId="0" xfId="0" applyNumberFormat="1" applyFont="1" applyBorder="1" applyAlignment="1">
      <alignment/>
    </xf>
    <xf numFmtId="0" fontId="1" fillId="33" borderId="4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7" fontId="7" fillId="33" borderId="0" xfId="0" applyNumberFormat="1" applyFont="1" applyFill="1" applyAlignment="1">
      <alignment horizontal="center" vertical="center" wrapText="1"/>
    </xf>
    <xf numFmtId="18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7" fontId="6" fillId="33" borderId="0" xfId="0" applyNumberFormat="1" applyFont="1" applyFill="1" applyAlignment="1">
      <alignment horizontal="center" vertical="center" wrapText="1"/>
    </xf>
    <xf numFmtId="187" fontId="6" fillId="0" borderId="0" xfId="0" applyNumberFormat="1" applyFont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0" borderId="13" xfId="0" applyFont="1" applyBorder="1" applyAlignment="1">
      <alignment horizontal="center" vertical="center" wrapText="1"/>
    </xf>
    <xf numFmtId="187" fontId="6" fillId="33" borderId="25" xfId="58" applyNumberFormat="1" applyFont="1" applyFill="1" applyBorder="1" applyAlignment="1">
      <alignment horizontal="center" vertical="center" wrapText="1"/>
    </xf>
    <xf numFmtId="187" fontId="6" fillId="33" borderId="26" xfId="58" applyNumberFormat="1" applyFont="1" applyFill="1" applyBorder="1" applyAlignment="1">
      <alignment horizontal="center" vertical="center"/>
    </xf>
    <xf numFmtId="187" fontId="6" fillId="33" borderId="25" xfId="58" applyNumberFormat="1" applyFont="1" applyFill="1" applyBorder="1" applyAlignment="1">
      <alignment horizontal="center" vertical="center"/>
    </xf>
    <xf numFmtId="187" fontId="6" fillId="33" borderId="30" xfId="58" applyNumberFormat="1" applyFont="1" applyFill="1" applyBorder="1" applyAlignment="1">
      <alignment horizontal="center" vertical="center"/>
    </xf>
    <xf numFmtId="187" fontId="6" fillId="33" borderId="30" xfId="58" applyNumberFormat="1" applyFont="1" applyFill="1" applyBorder="1" applyAlignment="1">
      <alignment horizontal="center" vertical="center" wrapText="1"/>
    </xf>
    <xf numFmtId="187" fontId="6" fillId="33" borderId="31" xfId="58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87" fontId="6" fillId="33" borderId="15" xfId="0" applyNumberFormat="1" applyFont="1" applyFill="1" applyBorder="1" applyAlignment="1">
      <alignment horizontal="center" vertical="center" wrapText="1"/>
    </xf>
    <xf numFmtId="187" fontId="6" fillId="33" borderId="46" xfId="0" applyNumberFormat="1" applyFont="1" applyFill="1" applyBorder="1" applyAlignment="1">
      <alignment horizontal="center" vertical="center" wrapText="1"/>
    </xf>
    <xf numFmtId="187" fontId="6" fillId="33" borderId="13" xfId="0" applyNumberFormat="1" applyFont="1" applyFill="1" applyBorder="1" applyAlignment="1">
      <alignment horizontal="center" vertical="center" wrapText="1"/>
    </xf>
    <xf numFmtId="187" fontId="6" fillId="33" borderId="47" xfId="0" applyNumberFormat="1" applyFont="1" applyFill="1" applyBorder="1" applyAlignment="1">
      <alignment horizontal="center" vertical="center" wrapText="1"/>
    </xf>
    <xf numFmtId="187" fontId="6" fillId="33" borderId="11" xfId="0" applyNumberFormat="1" applyFont="1" applyFill="1" applyBorder="1" applyAlignment="1">
      <alignment horizontal="center" vertical="center" wrapText="1"/>
    </xf>
    <xf numFmtId="187" fontId="6" fillId="33" borderId="3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87" fontId="6" fillId="0" borderId="25" xfId="58" applyNumberFormat="1" applyFont="1" applyFill="1" applyBorder="1" applyAlignment="1">
      <alignment horizontal="center" vertical="center" wrapText="1"/>
    </xf>
    <xf numFmtId="41" fontId="6" fillId="0" borderId="26" xfId="59" applyFont="1" applyFill="1" applyBorder="1" applyAlignment="1">
      <alignment horizontal="center" vertical="center" wrapText="1"/>
    </xf>
    <xf numFmtId="41" fontId="6" fillId="0" borderId="25" xfId="59" applyFont="1" applyFill="1" applyBorder="1" applyAlignment="1">
      <alignment horizontal="center" vertical="center" wrapText="1"/>
    </xf>
    <xf numFmtId="187" fontId="6" fillId="0" borderId="26" xfId="58" applyNumberFormat="1" applyFont="1" applyFill="1" applyBorder="1" applyAlignment="1">
      <alignment horizontal="center" vertical="center" wrapText="1"/>
    </xf>
    <xf numFmtId="187" fontId="6" fillId="0" borderId="24" xfId="58" applyNumberFormat="1" applyFont="1" applyFill="1" applyBorder="1" applyAlignment="1">
      <alignment horizontal="center" vertical="center" wrapText="1"/>
    </xf>
    <xf numFmtId="187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23" xfId="0" applyFont="1" applyFill="1" applyBorder="1" applyAlignment="1">
      <alignment horizontal="center" vertical="center"/>
    </xf>
    <xf numFmtId="187" fontId="6" fillId="0" borderId="25" xfId="58" applyNumberFormat="1" applyFont="1" applyFill="1" applyBorder="1" applyAlignment="1">
      <alignment horizontal="center"/>
    </xf>
    <xf numFmtId="187" fontId="6" fillId="0" borderId="25" xfId="58" applyNumberFormat="1" applyFont="1" applyFill="1" applyBorder="1" applyAlignment="1">
      <alignment vertical="center" wrapText="1"/>
    </xf>
    <xf numFmtId="187" fontId="6" fillId="0" borderId="26" xfId="58" applyNumberFormat="1" applyFont="1" applyFill="1" applyBorder="1" applyAlignment="1">
      <alignment horizontal="center" vertical="center"/>
    </xf>
    <xf numFmtId="187" fontId="6" fillId="0" borderId="25" xfId="58" applyNumberFormat="1" applyFont="1" applyFill="1" applyBorder="1" applyAlignment="1">
      <alignment/>
    </xf>
    <xf numFmtId="187" fontId="6" fillId="0" borderId="25" xfId="58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43" fontId="6" fillId="0" borderId="25" xfId="58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87" fontId="6" fillId="0" borderId="30" xfId="58" applyNumberFormat="1" applyFont="1" applyFill="1" applyBorder="1" applyAlignment="1">
      <alignment horizontal="center" vertical="center"/>
    </xf>
    <xf numFmtId="187" fontId="6" fillId="0" borderId="31" xfId="58" applyNumberFormat="1" applyFont="1" applyFill="1" applyBorder="1" applyAlignment="1">
      <alignment horizontal="center" vertical="center" wrapText="1"/>
    </xf>
    <xf numFmtId="187" fontId="6" fillId="0" borderId="30" xfId="58" applyNumberFormat="1" applyFont="1" applyFill="1" applyBorder="1" applyAlignment="1">
      <alignment horizontal="center" vertical="center" wrapText="1"/>
    </xf>
    <xf numFmtId="187" fontId="6" fillId="0" borderId="31" xfId="58" applyNumberFormat="1" applyFont="1" applyFill="1" applyBorder="1" applyAlignment="1">
      <alignment horizontal="center" vertical="center"/>
    </xf>
    <xf numFmtId="187" fontId="6" fillId="0" borderId="29" xfId="58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187" fontId="6" fillId="0" borderId="36" xfId="58" applyNumberFormat="1" applyFont="1" applyFill="1" applyBorder="1" applyAlignment="1">
      <alignment horizontal="center" vertical="center"/>
    </xf>
    <xf numFmtId="187" fontId="6" fillId="0" borderId="35" xfId="58" applyNumberFormat="1" applyFont="1" applyFill="1" applyBorder="1" applyAlignment="1">
      <alignment horizontal="center" vertical="center" wrapText="1"/>
    </xf>
    <xf numFmtId="187" fontId="6" fillId="0" borderId="36" xfId="58" applyNumberFormat="1" applyFont="1" applyFill="1" applyBorder="1" applyAlignment="1">
      <alignment horizontal="center" vertical="center" wrapText="1"/>
    </xf>
    <xf numFmtId="187" fontId="6" fillId="0" borderId="35" xfId="58" applyNumberFormat="1" applyFont="1" applyFill="1" applyBorder="1" applyAlignment="1">
      <alignment horizontal="center" vertical="center"/>
    </xf>
    <xf numFmtId="187" fontId="6" fillId="0" borderId="34" xfId="58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7" fontId="6" fillId="0" borderId="48" xfId="58" applyNumberFormat="1" applyFont="1" applyFill="1" applyBorder="1" applyAlignment="1">
      <alignment horizontal="center" vertical="center"/>
    </xf>
    <xf numFmtId="187" fontId="6" fillId="0" borderId="49" xfId="58" applyNumberFormat="1" applyFont="1" applyFill="1" applyBorder="1" applyAlignment="1">
      <alignment horizontal="center" vertical="center" wrapText="1"/>
    </xf>
    <xf numFmtId="187" fontId="6" fillId="0" borderId="48" xfId="58" applyNumberFormat="1" applyFont="1" applyFill="1" applyBorder="1" applyAlignment="1">
      <alignment horizontal="center" vertical="center" wrapText="1"/>
    </xf>
    <xf numFmtId="187" fontId="6" fillId="0" borderId="49" xfId="58" applyNumberFormat="1" applyFont="1" applyFill="1" applyBorder="1" applyAlignment="1">
      <alignment horizontal="center" vertical="center"/>
    </xf>
    <xf numFmtId="187" fontId="6" fillId="0" borderId="40" xfId="58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87" fontId="6" fillId="0" borderId="33" xfId="58" applyNumberFormat="1" applyFont="1" applyFill="1" applyBorder="1" applyAlignment="1">
      <alignment horizontal="center" vertical="center"/>
    </xf>
    <xf numFmtId="187" fontId="6" fillId="0" borderId="50" xfId="58" applyNumberFormat="1" applyFont="1" applyFill="1" applyBorder="1" applyAlignment="1">
      <alignment horizontal="center" vertical="center" wrapText="1"/>
    </xf>
    <xf numFmtId="187" fontId="6" fillId="0" borderId="33" xfId="58" applyNumberFormat="1" applyFont="1" applyFill="1" applyBorder="1" applyAlignment="1">
      <alignment horizontal="center" vertical="center" wrapText="1"/>
    </xf>
    <xf numFmtId="187" fontId="6" fillId="0" borderId="50" xfId="58" applyNumberFormat="1" applyFont="1" applyFill="1" applyBorder="1" applyAlignment="1">
      <alignment horizontal="center" vertical="center"/>
    </xf>
    <xf numFmtId="187" fontId="6" fillId="0" borderId="32" xfId="58" applyNumberFormat="1" applyFont="1" applyFill="1" applyBorder="1" applyAlignment="1">
      <alignment horizontal="center" vertical="center" wrapText="1"/>
    </xf>
    <xf numFmtId="187" fontId="6" fillId="0" borderId="51" xfId="58" applyNumberFormat="1" applyFont="1" applyFill="1" applyBorder="1" applyAlignment="1">
      <alignment horizontal="center" vertical="center"/>
    </xf>
    <xf numFmtId="187" fontId="6" fillId="0" borderId="51" xfId="58" applyNumberFormat="1" applyFont="1" applyFill="1" applyBorder="1" applyAlignment="1">
      <alignment horizontal="center" vertical="center" wrapText="1"/>
    </xf>
    <xf numFmtId="187" fontId="6" fillId="0" borderId="52" xfId="58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187" fontId="2" fillId="0" borderId="54" xfId="58" applyNumberFormat="1" applyFont="1" applyFill="1" applyBorder="1" applyAlignment="1">
      <alignment horizontal="center" vertical="center"/>
    </xf>
    <xf numFmtId="187" fontId="2" fillId="0" borderId="55" xfId="58" applyNumberFormat="1" applyFont="1" applyFill="1" applyBorder="1" applyAlignment="1">
      <alignment horizontal="center" vertical="center"/>
    </xf>
    <xf numFmtId="187" fontId="2" fillId="0" borderId="0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187" fontId="2" fillId="0" borderId="17" xfId="58" applyNumberFormat="1" applyFont="1" applyFill="1" applyBorder="1" applyAlignment="1">
      <alignment horizontal="center" vertical="center"/>
    </xf>
    <xf numFmtId="187" fontId="2" fillId="0" borderId="12" xfId="58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41" fontId="6" fillId="0" borderId="39" xfId="59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187" fontId="12" fillId="33" borderId="0" xfId="0" applyNumberFormat="1" applyFont="1" applyFill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187" fontId="6" fillId="33" borderId="31" xfId="58" applyNumberFormat="1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7" fontId="2" fillId="0" borderId="11" xfId="58" applyNumberFormat="1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87" fontId="6" fillId="33" borderId="59" xfId="58" applyNumberFormat="1" applyFont="1" applyFill="1" applyBorder="1" applyAlignment="1">
      <alignment horizontal="center" vertical="center" wrapText="1"/>
    </xf>
    <xf numFmtId="187" fontId="6" fillId="33" borderId="33" xfId="58" applyNumberFormat="1" applyFont="1" applyFill="1" applyBorder="1" applyAlignment="1">
      <alignment horizontal="center" vertical="center"/>
    </xf>
    <xf numFmtId="187" fontId="6" fillId="33" borderId="33" xfId="58" applyNumberFormat="1" applyFont="1" applyFill="1" applyBorder="1" applyAlignment="1">
      <alignment horizontal="center" vertical="center" wrapText="1"/>
    </xf>
    <xf numFmtId="187" fontId="6" fillId="33" borderId="59" xfId="58" applyNumberFormat="1" applyFont="1" applyFill="1" applyBorder="1" applyAlignment="1">
      <alignment horizontal="center" vertical="center"/>
    </xf>
    <xf numFmtId="187" fontId="6" fillId="33" borderId="50" xfId="58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87" fontId="6" fillId="33" borderId="12" xfId="58" applyNumberFormat="1" applyFont="1" applyFill="1" applyBorder="1" applyAlignment="1">
      <alignment horizontal="center" vertical="center" wrapText="1"/>
    </xf>
    <xf numFmtId="187" fontId="6" fillId="33" borderId="12" xfId="58" applyNumberFormat="1" applyFont="1" applyFill="1" applyBorder="1" applyAlignment="1">
      <alignment horizontal="center" vertical="center"/>
    </xf>
    <xf numFmtId="187" fontId="6" fillId="33" borderId="18" xfId="58" applyNumberFormat="1" applyFont="1" applyFill="1" applyBorder="1" applyAlignment="1">
      <alignment horizontal="center" vertical="center"/>
    </xf>
    <xf numFmtId="187" fontId="6" fillId="33" borderId="11" xfId="58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187" fontId="0" fillId="0" borderId="0" xfId="58" applyNumberFormat="1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15" fillId="0" borderId="10" xfId="58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4" xfId="0" applyNumberFormat="1" applyFont="1" applyBorder="1" applyAlignment="1">
      <alignment horizontal="center" vertical="center" wrapText="1"/>
    </xf>
    <xf numFmtId="187" fontId="16" fillId="0" borderId="37" xfId="58" applyNumberFormat="1" applyFont="1" applyBorder="1" applyAlignment="1">
      <alignment horizontal="center" vertical="center" wrapText="1"/>
    </xf>
    <xf numFmtId="43" fontId="16" fillId="0" borderId="60" xfId="58" applyNumberFormat="1" applyFont="1" applyBorder="1" applyAlignment="1">
      <alignment horizontal="center" vertical="center" wrapText="1"/>
    </xf>
    <xf numFmtId="43" fontId="16" fillId="0" borderId="34" xfId="58" applyNumberFormat="1" applyFont="1" applyBorder="1" applyAlignment="1">
      <alignment horizontal="center" vertical="center" wrapText="1"/>
    </xf>
    <xf numFmtId="0" fontId="16" fillId="0" borderId="36" xfId="0" applyNumberFormat="1" applyFont="1" applyBorder="1" applyAlignment="1">
      <alignment horizontal="center" vertical="center" wrapText="1"/>
    </xf>
    <xf numFmtId="43" fontId="16" fillId="0" borderId="52" xfId="58" applyNumberFormat="1" applyFont="1" applyBorder="1" applyAlignment="1">
      <alignment horizontal="center" vertical="center" wrapText="1"/>
    </xf>
    <xf numFmtId="0" fontId="16" fillId="0" borderId="61" xfId="0" applyNumberFormat="1" applyFont="1" applyBorder="1" applyAlignment="1">
      <alignment horizontal="center" vertical="center" wrapText="1"/>
    </xf>
    <xf numFmtId="43" fontId="16" fillId="0" borderId="62" xfId="58" applyFont="1" applyBorder="1" applyAlignment="1">
      <alignment horizontal="center" vertical="center" wrapText="1"/>
    </xf>
    <xf numFmtId="43" fontId="16" fillId="0" borderId="34" xfId="58" applyFont="1" applyBorder="1" applyAlignment="1">
      <alignment horizontal="center" vertical="center" wrapText="1"/>
    </xf>
    <xf numFmtId="187" fontId="16" fillId="0" borderId="36" xfId="58" applyNumberFormat="1" applyFont="1" applyBorder="1" applyAlignment="1">
      <alignment horizontal="center" vertical="center" wrapText="1"/>
    </xf>
    <xf numFmtId="187" fontId="16" fillId="0" borderId="61" xfId="58" applyNumberFormat="1" applyFont="1" applyBorder="1" applyAlignment="1">
      <alignment horizontal="center" vertical="center" wrapText="1"/>
    </xf>
    <xf numFmtId="43" fontId="16" fillId="0" borderId="62" xfId="58" applyNumberFormat="1" applyFont="1" applyBorder="1" applyAlignment="1">
      <alignment horizontal="center" vertical="center" wrapText="1"/>
    </xf>
    <xf numFmtId="43" fontId="16" fillId="0" borderId="52" xfId="58" applyFont="1" applyBorder="1" applyAlignment="1">
      <alignment horizontal="center" vertical="center" wrapText="1"/>
    </xf>
    <xf numFmtId="18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87" fontId="16" fillId="0" borderId="38" xfId="58" applyNumberFormat="1" applyFont="1" applyBorder="1" applyAlignment="1">
      <alignment horizontal="center" vertical="center" wrapText="1"/>
    </xf>
    <xf numFmtId="43" fontId="16" fillId="0" borderId="63" xfId="58" applyNumberFormat="1" applyFont="1" applyBorder="1" applyAlignment="1">
      <alignment horizontal="center" vertical="center" wrapText="1"/>
    </xf>
    <xf numFmtId="43" fontId="16" fillId="0" borderId="24" xfId="58" applyNumberFormat="1" applyFont="1" applyBorder="1" applyAlignment="1">
      <alignment horizontal="center" vertical="center" wrapText="1"/>
    </xf>
    <xf numFmtId="41" fontId="16" fillId="0" borderId="25" xfId="59" applyFont="1" applyBorder="1" applyAlignment="1">
      <alignment horizontal="center" vertical="center" wrapText="1"/>
    </xf>
    <xf numFmtId="43" fontId="16" fillId="0" borderId="64" xfId="58" applyNumberFormat="1" applyFont="1" applyBorder="1" applyAlignment="1">
      <alignment horizontal="center" vertical="center" wrapText="1"/>
    </xf>
    <xf numFmtId="41" fontId="16" fillId="0" borderId="26" xfId="59" applyFont="1" applyBorder="1" applyAlignment="1">
      <alignment horizontal="center" vertical="center" wrapText="1"/>
    </xf>
    <xf numFmtId="43" fontId="16" fillId="0" borderId="63" xfId="58" applyFont="1" applyBorder="1" applyAlignment="1">
      <alignment horizontal="center" vertical="center" wrapText="1"/>
    </xf>
    <xf numFmtId="43" fontId="16" fillId="0" borderId="24" xfId="58" applyFont="1" applyBorder="1" applyAlignment="1">
      <alignment horizontal="center" vertical="center" wrapText="1"/>
    </xf>
    <xf numFmtId="187" fontId="16" fillId="0" borderId="25" xfId="58" applyNumberFormat="1" applyFont="1" applyBorder="1" applyAlignment="1">
      <alignment horizontal="center" vertical="center" wrapText="1"/>
    </xf>
    <xf numFmtId="187" fontId="16" fillId="0" borderId="26" xfId="58" applyNumberFormat="1" applyFont="1" applyBorder="1" applyAlignment="1">
      <alignment horizontal="center" vertical="center" wrapText="1"/>
    </xf>
    <xf numFmtId="43" fontId="16" fillId="0" borderId="64" xfId="58" applyFont="1" applyBorder="1" applyAlignment="1">
      <alignment horizontal="center" vertical="center" wrapText="1"/>
    </xf>
    <xf numFmtId="14" fontId="15" fillId="0" borderId="24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87" fontId="16" fillId="0" borderId="0" xfId="58" applyNumberFormat="1" applyFont="1" applyFill="1" applyBorder="1" applyAlignment="1">
      <alignment horizontal="center" vertical="center" wrapText="1"/>
    </xf>
    <xf numFmtId="0" fontId="16" fillId="0" borderId="24" xfId="58" applyNumberFormat="1" applyFont="1" applyBorder="1" applyAlignment="1">
      <alignment horizontal="center" vertical="center" wrapText="1"/>
    </xf>
    <xf numFmtId="187" fontId="16" fillId="0" borderId="64" xfId="58" applyNumberFormat="1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87" fontId="16" fillId="0" borderId="38" xfId="58" applyNumberFormat="1" applyFont="1" applyBorder="1" applyAlignment="1">
      <alignment horizontal="center"/>
    </xf>
    <xf numFmtId="187" fontId="16" fillId="0" borderId="26" xfId="58" applyNumberFormat="1" applyFont="1" applyBorder="1" applyAlignment="1">
      <alignment vertical="center" wrapText="1"/>
    </xf>
    <xf numFmtId="43" fontId="16" fillId="0" borderId="63" xfId="58" applyNumberFormat="1" applyFont="1" applyBorder="1" applyAlignment="1">
      <alignment/>
    </xf>
    <xf numFmtId="43" fontId="16" fillId="0" borderId="24" xfId="58" applyNumberFormat="1" applyFont="1" applyBorder="1" applyAlignment="1">
      <alignment/>
    </xf>
    <xf numFmtId="187" fontId="16" fillId="0" borderId="25" xfId="58" applyNumberFormat="1" applyFont="1" applyBorder="1" applyAlignment="1">
      <alignment horizontal="center" vertical="center"/>
    </xf>
    <xf numFmtId="43" fontId="16" fillId="0" borderId="64" xfId="58" applyNumberFormat="1" applyFont="1" applyBorder="1" applyAlignment="1">
      <alignment horizontal="center" vertical="center"/>
    </xf>
    <xf numFmtId="43" fontId="16" fillId="0" borderId="24" xfId="58" applyNumberFormat="1" applyFont="1" applyBorder="1" applyAlignment="1">
      <alignment horizontal="center" vertical="center"/>
    </xf>
    <xf numFmtId="187" fontId="16" fillId="0" borderId="26" xfId="58" applyNumberFormat="1" applyFont="1" applyBorder="1" applyAlignment="1">
      <alignment/>
    </xf>
    <xf numFmtId="43" fontId="16" fillId="0" borderId="63" xfId="58" applyFont="1" applyBorder="1" applyAlignment="1">
      <alignment/>
    </xf>
    <xf numFmtId="43" fontId="16" fillId="0" borderId="24" xfId="58" applyFont="1" applyBorder="1" applyAlignment="1">
      <alignment/>
    </xf>
    <xf numFmtId="187" fontId="16" fillId="0" borderId="25" xfId="58" applyNumberFormat="1" applyFont="1" applyBorder="1" applyAlignment="1">
      <alignment/>
    </xf>
    <xf numFmtId="43" fontId="16" fillId="0" borderId="64" xfId="58" applyFont="1" applyBorder="1" applyAlignment="1">
      <alignment/>
    </xf>
    <xf numFmtId="43" fontId="16" fillId="0" borderId="64" xfId="58" applyFont="1" applyBorder="1" applyAlignment="1">
      <alignment horizontal="center" vertical="center"/>
    </xf>
    <xf numFmtId="187" fontId="16" fillId="0" borderId="38" xfId="58" applyNumberFormat="1" applyFont="1" applyBorder="1" applyAlignment="1">
      <alignment horizontal="center" vertical="center"/>
    </xf>
    <xf numFmtId="43" fontId="16" fillId="0" borderId="63" xfId="58" applyNumberFormat="1" applyFont="1" applyBorder="1" applyAlignment="1">
      <alignment horizontal="center" vertical="center"/>
    </xf>
    <xf numFmtId="187" fontId="16" fillId="0" borderId="26" xfId="58" applyNumberFormat="1" applyFont="1" applyBorder="1" applyAlignment="1">
      <alignment horizontal="center" vertical="center"/>
    </xf>
    <xf numFmtId="43" fontId="16" fillId="0" borderId="63" xfId="58" applyFont="1" applyBorder="1" applyAlignment="1">
      <alignment horizontal="center" vertical="center"/>
    </xf>
    <xf numFmtId="43" fontId="16" fillId="0" borderId="24" xfId="58" applyFont="1" applyBorder="1" applyAlignment="1">
      <alignment horizontal="center" vertical="center"/>
    </xf>
    <xf numFmtId="14" fontId="15" fillId="0" borderId="29" xfId="0" applyNumberFormat="1" applyFont="1" applyBorder="1" applyAlignment="1">
      <alignment horizontal="center" vertical="center" wrapText="1"/>
    </xf>
    <xf numFmtId="187" fontId="16" fillId="0" borderId="39" xfId="58" applyNumberFormat="1" applyFont="1" applyBorder="1" applyAlignment="1">
      <alignment horizontal="center" vertical="center"/>
    </xf>
    <xf numFmtId="43" fontId="16" fillId="0" borderId="65" xfId="58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43" fontId="16" fillId="0" borderId="66" xfId="58" applyNumberFormat="1" applyFont="1" applyBorder="1" applyAlignment="1">
      <alignment horizontal="center" vertical="center" wrapText="1"/>
    </xf>
    <xf numFmtId="187" fontId="16" fillId="0" borderId="31" xfId="58" applyNumberFormat="1" applyFont="1" applyBorder="1" applyAlignment="1">
      <alignment horizontal="center" vertical="center" wrapText="1"/>
    </xf>
    <xf numFmtId="43" fontId="16" fillId="0" borderId="65" xfId="58" applyFont="1" applyBorder="1" applyAlignment="1">
      <alignment horizontal="center" vertical="center" wrapText="1"/>
    </xf>
    <xf numFmtId="43" fontId="16" fillId="0" borderId="29" xfId="58" applyFont="1" applyBorder="1" applyAlignment="1">
      <alignment horizontal="center" vertical="center" wrapText="1"/>
    </xf>
    <xf numFmtId="187" fontId="16" fillId="0" borderId="30" xfId="58" applyNumberFormat="1" applyFont="1" applyBorder="1" applyAlignment="1">
      <alignment horizontal="center" vertical="center" wrapText="1"/>
    </xf>
    <xf numFmtId="43" fontId="16" fillId="0" borderId="29" xfId="58" applyNumberFormat="1" applyFont="1" applyBorder="1" applyAlignment="1">
      <alignment horizontal="center" vertical="center" wrapText="1"/>
    </xf>
    <xf numFmtId="187" fontId="16" fillId="0" borderId="39" xfId="58" applyNumberFormat="1" applyFont="1" applyBorder="1" applyAlignment="1">
      <alignment horizontal="center" vertical="center" wrapText="1"/>
    </xf>
    <xf numFmtId="187" fontId="16" fillId="0" borderId="30" xfId="58" applyNumberFormat="1" applyFont="1" applyBorder="1" applyAlignment="1">
      <alignment horizontal="center" vertical="center"/>
    </xf>
    <xf numFmtId="43" fontId="16" fillId="0" borderId="66" xfId="58" applyNumberFormat="1" applyFont="1" applyBorder="1" applyAlignment="1">
      <alignment horizontal="center" vertical="center"/>
    </xf>
    <xf numFmtId="43" fontId="16" fillId="0" borderId="29" xfId="58" applyNumberFormat="1" applyFont="1" applyBorder="1" applyAlignment="1">
      <alignment horizontal="center" vertical="center"/>
    </xf>
    <xf numFmtId="187" fontId="16" fillId="0" borderId="31" xfId="58" applyNumberFormat="1" applyFont="1" applyBorder="1" applyAlignment="1">
      <alignment horizontal="center" vertical="center"/>
    </xf>
    <xf numFmtId="43" fontId="16" fillId="0" borderId="65" xfId="58" applyFont="1" applyBorder="1" applyAlignment="1">
      <alignment horizontal="center" vertical="center"/>
    </xf>
    <xf numFmtId="43" fontId="16" fillId="0" borderId="29" xfId="58" applyFont="1" applyBorder="1" applyAlignment="1">
      <alignment horizontal="center" vertical="center"/>
    </xf>
    <xf numFmtId="43" fontId="16" fillId="0" borderId="66" xfId="58" applyFont="1" applyBorder="1" applyAlignment="1">
      <alignment horizontal="center" vertical="center"/>
    </xf>
    <xf numFmtId="187" fontId="16" fillId="0" borderId="29" xfId="58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4" xfId="0" applyBorder="1" applyAlignment="1">
      <alignment/>
    </xf>
    <xf numFmtId="43" fontId="16" fillId="0" borderId="26" xfId="58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66" xfId="0" applyBorder="1" applyAlignment="1">
      <alignment/>
    </xf>
    <xf numFmtId="43" fontId="16" fillId="0" borderId="31" xfId="58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4" fontId="15" fillId="0" borderId="40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43" fontId="16" fillId="0" borderId="55" xfId="58" applyNumberFormat="1" applyFont="1" applyBorder="1" applyAlignment="1">
      <alignment horizontal="center" vertical="center" wrapText="1"/>
    </xf>
    <xf numFmtId="187" fontId="16" fillId="0" borderId="48" xfId="58" applyNumberFormat="1" applyFont="1" applyBorder="1" applyAlignment="1">
      <alignment horizontal="center" vertical="center" wrapText="1"/>
    </xf>
    <xf numFmtId="43" fontId="16" fillId="0" borderId="65" xfId="58" applyNumberFormat="1" applyFont="1" applyBorder="1" applyAlignment="1">
      <alignment horizontal="center" vertical="center"/>
    </xf>
    <xf numFmtId="187" fontId="16" fillId="0" borderId="48" xfId="58" applyNumberFormat="1" applyFont="1" applyBorder="1" applyAlignment="1">
      <alignment horizontal="center" vertical="center"/>
    </xf>
    <xf numFmtId="43" fontId="16" fillId="0" borderId="55" xfId="58" applyNumberFormat="1" applyFont="1" applyBorder="1" applyAlignment="1">
      <alignment horizontal="center" vertical="center"/>
    </xf>
    <xf numFmtId="43" fontId="16" fillId="0" borderId="55" xfId="58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87" fontId="2" fillId="0" borderId="18" xfId="58" applyNumberFormat="1" applyFont="1" applyBorder="1" applyAlignment="1">
      <alignment horizontal="center" vertical="center"/>
    </xf>
    <xf numFmtId="43" fontId="2" fillId="0" borderId="67" xfId="58" applyNumberFormat="1" applyFont="1" applyBorder="1" applyAlignment="1">
      <alignment horizontal="center" vertical="center"/>
    </xf>
    <xf numFmtId="43" fontId="2" fillId="0" borderId="11" xfId="58" applyNumberFormat="1" applyFont="1" applyBorder="1" applyAlignment="1">
      <alignment horizontal="center" vertical="center"/>
    </xf>
    <xf numFmtId="187" fontId="2" fillId="0" borderId="12" xfId="58" applyNumberFormat="1" applyFont="1" applyBorder="1" applyAlignment="1">
      <alignment horizontal="center" vertical="center"/>
    </xf>
    <xf numFmtId="187" fontId="2" fillId="0" borderId="67" xfId="58" applyNumberFormat="1" applyFont="1" applyBorder="1" applyAlignment="1">
      <alignment horizontal="center" vertical="center"/>
    </xf>
    <xf numFmtId="187" fontId="2" fillId="0" borderId="10" xfId="58" applyNumberFormat="1" applyFont="1" applyBorder="1" applyAlignment="1">
      <alignment horizontal="center" vertical="center"/>
    </xf>
    <xf numFmtId="187" fontId="2" fillId="0" borderId="13" xfId="58" applyNumberFormat="1" applyFont="1" applyBorder="1" applyAlignment="1">
      <alignment horizontal="center" vertical="center"/>
    </xf>
    <xf numFmtId="43" fontId="2" fillId="0" borderId="67" xfId="58" applyFont="1" applyBorder="1" applyAlignment="1">
      <alignment horizontal="center" vertical="center"/>
    </xf>
    <xf numFmtId="43" fontId="2" fillId="0" borderId="11" xfId="58" applyFont="1" applyBorder="1" applyAlignment="1">
      <alignment horizontal="center" vertical="center"/>
    </xf>
    <xf numFmtId="43" fontId="2" fillId="0" borderId="10" xfId="5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32" xfId="0" applyFont="1" applyBorder="1" applyAlignment="1">
      <alignment horizontal="center" vertical="center"/>
    </xf>
    <xf numFmtId="187" fontId="0" fillId="0" borderId="0" xfId="0" applyNumberFormat="1" applyBorder="1" applyAlignment="1">
      <alignment/>
    </xf>
    <xf numFmtId="0" fontId="15" fillId="0" borderId="15" xfId="0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7" fontId="15" fillId="0" borderId="68" xfId="58" applyNumberFormat="1" applyFont="1" applyBorder="1" applyAlignment="1">
      <alignment/>
    </xf>
    <xf numFmtId="0" fontId="15" fillId="0" borderId="68" xfId="0" applyFont="1" applyBorder="1" applyAlignment="1">
      <alignment/>
    </xf>
    <xf numFmtId="187" fontId="15" fillId="0" borderId="68" xfId="58" applyNumberFormat="1" applyFont="1" applyBorder="1" applyAlignment="1">
      <alignment horizontal="center" vertical="center" wrapText="1"/>
    </xf>
    <xf numFmtId="43" fontId="15" fillId="0" borderId="62" xfId="58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29" xfId="0" applyFont="1" applyBorder="1" applyAlignment="1">
      <alignment horizontal="center" vertical="center"/>
    </xf>
    <xf numFmtId="187" fontId="15" fillId="0" borderId="69" xfId="58" applyNumberFormat="1" applyFont="1" applyBorder="1" applyAlignment="1">
      <alignment/>
    </xf>
    <xf numFmtId="0" fontId="15" fillId="0" borderId="69" xfId="0" applyFont="1" applyBorder="1" applyAlignment="1">
      <alignment/>
    </xf>
    <xf numFmtId="187" fontId="15" fillId="0" borderId="69" xfId="58" applyNumberFormat="1" applyFont="1" applyBorder="1" applyAlignment="1">
      <alignment horizontal="center" vertical="center" wrapText="1"/>
    </xf>
    <xf numFmtId="43" fontId="15" fillId="0" borderId="65" xfId="58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2" fontId="16" fillId="0" borderId="52" xfId="0" applyNumberFormat="1" applyFont="1" applyBorder="1" applyAlignment="1">
      <alignment horizontal="center" vertical="center"/>
    </xf>
    <xf numFmtId="2" fontId="16" fillId="0" borderId="34" xfId="0" applyNumberFormat="1" applyFont="1" applyBorder="1" applyAlignment="1">
      <alignment horizontal="center" vertical="center"/>
    </xf>
    <xf numFmtId="187" fontId="16" fillId="0" borderId="35" xfId="58" applyNumberFormat="1" applyFont="1" applyBorder="1" applyAlignment="1">
      <alignment horizontal="center" vertical="center"/>
    </xf>
    <xf numFmtId="187" fontId="16" fillId="0" borderId="36" xfId="58" applyNumberFormat="1" applyFont="1" applyBorder="1" applyAlignment="1">
      <alignment horizontal="center" vertical="center"/>
    </xf>
    <xf numFmtId="43" fontId="16" fillId="0" borderId="52" xfId="58" applyNumberFormat="1" applyFont="1" applyBorder="1" applyAlignment="1">
      <alignment horizontal="center" vertical="center"/>
    </xf>
    <xf numFmtId="43" fontId="16" fillId="0" borderId="34" xfId="58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43" fontId="16" fillId="0" borderId="60" xfId="58" applyNumberFormat="1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2" fontId="16" fillId="0" borderId="64" xfId="59" applyNumberFormat="1" applyFont="1" applyBorder="1" applyAlignment="1">
      <alignment horizontal="center" vertical="center" wrapText="1"/>
    </xf>
    <xf numFmtId="2" fontId="16" fillId="0" borderId="24" xfId="59" applyNumberFormat="1" applyFont="1" applyBorder="1" applyAlignment="1">
      <alignment horizontal="center" vertical="center" wrapText="1"/>
    </xf>
    <xf numFmtId="174" fontId="16" fillId="0" borderId="63" xfId="59" applyNumberFormat="1" applyFont="1" applyBorder="1" applyAlignment="1">
      <alignment horizontal="center" vertical="center" wrapText="1"/>
    </xf>
    <xf numFmtId="174" fontId="16" fillId="0" borderId="24" xfId="59" applyNumberFormat="1" applyFont="1" applyBorder="1" applyAlignment="1">
      <alignment horizontal="center" vertical="center" wrapText="1"/>
    </xf>
    <xf numFmtId="41" fontId="16" fillId="0" borderId="38" xfId="59" applyNumberFormat="1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43" fontId="16" fillId="0" borderId="55" xfId="58" applyFont="1" applyBorder="1" applyAlignment="1">
      <alignment horizontal="center" vertical="center" wrapText="1"/>
    </xf>
    <xf numFmtId="41" fontId="16" fillId="0" borderId="39" xfId="59" applyNumberFormat="1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/>
    </xf>
    <xf numFmtId="0" fontId="15" fillId="0" borderId="45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11" xfId="0" applyFont="1" applyBorder="1" applyAlignment="1">
      <alignment/>
    </xf>
    <xf numFmtId="187" fontId="2" fillId="0" borderId="43" xfId="58" applyNumberFormat="1" applyFont="1" applyBorder="1" applyAlignment="1">
      <alignment horizontal="center" vertical="center"/>
    </xf>
    <xf numFmtId="43" fontId="2" fillId="0" borderId="71" xfId="58" applyFont="1" applyBorder="1" applyAlignment="1">
      <alignment horizontal="center" vertical="center"/>
    </xf>
    <xf numFmtId="187" fontId="2" fillId="0" borderId="42" xfId="58" applyNumberFormat="1" applyFont="1" applyBorder="1" applyAlignment="1">
      <alignment horizontal="center" vertical="center"/>
    </xf>
    <xf numFmtId="43" fontId="2" fillId="0" borderId="72" xfId="58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3" fontId="2" fillId="0" borderId="72" xfId="58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87" fontId="2" fillId="0" borderId="71" xfId="58" applyNumberFormat="1" applyFont="1" applyBorder="1" applyAlignment="1">
      <alignment horizontal="center" vertical="center"/>
    </xf>
    <xf numFmtId="43" fontId="2" fillId="0" borderId="71" xfId="58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87" fontId="2" fillId="0" borderId="17" xfId="58" applyNumberFormat="1" applyFont="1" applyBorder="1" applyAlignment="1">
      <alignment horizontal="center" vertical="center" wrapText="1"/>
    </xf>
    <xf numFmtId="187" fontId="2" fillId="0" borderId="73" xfId="58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14" fontId="15" fillId="0" borderId="39" xfId="0" applyNumberFormat="1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43" fontId="16" fillId="0" borderId="22" xfId="58" applyFont="1" applyBorder="1" applyAlignment="1">
      <alignment horizontal="center" vertical="center" wrapText="1"/>
    </xf>
    <xf numFmtId="43" fontId="16" fillId="0" borderId="22" xfId="58" applyFont="1" applyBorder="1" applyAlignment="1">
      <alignment horizontal="center" vertical="center"/>
    </xf>
    <xf numFmtId="43" fontId="16" fillId="0" borderId="22" xfId="58" applyNumberFormat="1" applyFont="1" applyBorder="1" applyAlignment="1">
      <alignment horizontal="center" vertical="center" wrapText="1"/>
    </xf>
    <xf numFmtId="43" fontId="16" fillId="0" borderId="22" xfId="58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43" fontId="16" fillId="0" borderId="40" xfId="58" applyNumberFormat="1" applyFont="1" applyBorder="1" applyAlignment="1">
      <alignment horizontal="center" vertical="center"/>
    </xf>
    <xf numFmtId="43" fontId="16" fillId="0" borderId="66" xfId="58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43" fontId="2" fillId="0" borderId="22" xfId="58" applyNumberFormat="1" applyFont="1" applyBorder="1" applyAlignment="1">
      <alignment horizontal="center" vertical="center"/>
    </xf>
    <xf numFmtId="187" fontId="2" fillId="0" borderId="16" xfId="58" applyNumberFormat="1" applyFont="1" applyBorder="1" applyAlignment="1">
      <alignment horizontal="center" vertical="center"/>
    </xf>
    <xf numFmtId="187" fontId="2" fillId="0" borderId="47" xfId="58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87" fontId="3" fillId="0" borderId="50" xfId="0" applyNumberFormat="1" applyFont="1" applyBorder="1" applyAlignment="1">
      <alignment horizontal="center" vertical="center"/>
    </xf>
    <xf numFmtId="187" fontId="3" fillId="0" borderId="74" xfId="0" applyNumberFormat="1" applyFont="1" applyBorder="1" applyAlignment="1">
      <alignment horizontal="center" vertical="center"/>
    </xf>
    <xf numFmtId="187" fontId="3" fillId="0" borderId="45" xfId="0" applyNumberFormat="1" applyFont="1" applyBorder="1" applyAlignment="1">
      <alignment horizontal="center" vertical="center"/>
    </xf>
    <xf numFmtId="187" fontId="3" fillId="0" borderId="43" xfId="0" applyNumberFormat="1" applyFont="1" applyBorder="1" applyAlignment="1">
      <alignment horizontal="center" vertical="center"/>
    </xf>
    <xf numFmtId="187" fontId="3" fillId="0" borderId="71" xfId="0" applyNumberFormat="1" applyFont="1" applyBorder="1" applyAlignment="1">
      <alignment horizontal="center" vertical="center"/>
    </xf>
    <xf numFmtId="187" fontId="3" fillId="0" borderId="11" xfId="0" applyNumberFormat="1" applyFont="1" applyBorder="1" applyAlignment="1">
      <alignment horizontal="center" vertical="center"/>
    </xf>
    <xf numFmtId="187" fontId="3" fillId="0" borderId="42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187" fontId="3" fillId="0" borderId="32" xfId="0" applyNumberFormat="1" applyFont="1" applyBorder="1" applyAlignment="1">
      <alignment horizontal="center" vertical="center"/>
    </xf>
    <xf numFmtId="187" fontId="3" fillId="0" borderId="7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87" fontId="7" fillId="0" borderId="37" xfId="58" applyNumberFormat="1" applyFont="1" applyBorder="1" applyAlignment="1">
      <alignment horizontal="center" vertical="center" wrapText="1"/>
    </xf>
    <xf numFmtId="187" fontId="7" fillId="0" borderId="34" xfId="58" applyNumberFormat="1" applyFont="1" applyBorder="1" applyAlignment="1">
      <alignment horizontal="center" vertical="center" wrapText="1"/>
    </xf>
    <xf numFmtId="187" fontId="7" fillId="0" borderId="36" xfId="58" applyNumberFormat="1" applyFont="1" applyBorder="1" applyAlignment="1">
      <alignment horizontal="center" vertical="center" wrapText="1"/>
    </xf>
    <xf numFmtId="187" fontId="7" fillId="0" borderId="60" xfId="58" applyNumberFormat="1" applyFont="1" applyBorder="1" applyAlignment="1">
      <alignment horizontal="center" vertical="center" wrapText="1"/>
    </xf>
    <xf numFmtId="187" fontId="7" fillId="0" borderId="41" xfId="58" applyNumberFormat="1" applyFont="1" applyBorder="1" applyAlignment="1">
      <alignment horizontal="center" vertical="center" wrapText="1"/>
    </xf>
    <xf numFmtId="187" fontId="7" fillId="0" borderId="52" xfId="58" applyNumberFormat="1" applyFont="1" applyBorder="1" applyAlignment="1">
      <alignment horizontal="center" vertical="center" wrapText="1"/>
    </xf>
    <xf numFmtId="187" fontId="7" fillId="0" borderId="75" xfId="58" applyNumberFormat="1" applyFont="1" applyBorder="1" applyAlignment="1">
      <alignment horizontal="center" vertical="center" wrapText="1"/>
    </xf>
    <xf numFmtId="187" fontId="7" fillId="0" borderId="76" xfId="58" applyNumberFormat="1" applyFont="1" applyBorder="1" applyAlignment="1">
      <alignment horizontal="center" vertical="center" wrapText="1"/>
    </xf>
    <xf numFmtId="187" fontId="7" fillId="0" borderId="0" xfId="58" applyNumberFormat="1" applyFont="1" applyAlignment="1">
      <alignment horizontal="center" vertical="center" wrapText="1"/>
    </xf>
    <xf numFmtId="43" fontId="7" fillId="0" borderId="0" xfId="58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187" fontId="17" fillId="0" borderId="78" xfId="58" applyNumberFormat="1" applyFont="1" applyBorder="1" applyAlignment="1">
      <alignment horizontal="center" vertical="center" wrapText="1"/>
    </xf>
    <xf numFmtId="187" fontId="17" fillId="0" borderId="58" xfId="58" applyNumberFormat="1" applyFont="1" applyBorder="1" applyAlignment="1">
      <alignment horizontal="center" vertical="center" wrapText="1"/>
    </xf>
    <xf numFmtId="187" fontId="17" fillId="0" borderId="25" xfId="58" applyNumberFormat="1" applyFont="1" applyBorder="1" applyAlignment="1">
      <alignment horizontal="center" vertical="center" wrapText="1"/>
    </xf>
    <xf numFmtId="187" fontId="17" fillId="0" borderId="63" xfId="58" applyNumberFormat="1" applyFont="1" applyBorder="1" applyAlignment="1">
      <alignment horizontal="center" vertical="center" wrapText="1"/>
    </xf>
    <xf numFmtId="187" fontId="17" fillId="0" borderId="24" xfId="58" applyNumberFormat="1" applyFont="1" applyBorder="1" applyAlignment="1">
      <alignment horizontal="center" vertical="center" wrapText="1"/>
    </xf>
    <xf numFmtId="187" fontId="17" fillId="0" borderId="26" xfId="58" applyNumberFormat="1" applyFont="1" applyBorder="1" applyAlignment="1">
      <alignment horizontal="center" vertical="center" wrapText="1"/>
    </xf>
    <xf numFmtId="187" fontId="17" fillId="0" borderId="59" xfId="58" applyNumberFormat="1" applyFont="1" applyBorder="1" applyAlignment="1">
      <alignment horizontal="center" vertical="center" wrapText="1"/>
    </xf>
    <xf numFmtId="187" fontId="17" fillId="0" borderId="62" xfId="58" applyNumberFormat="1" applyFont="1" applyBorder="1" applyAlignment="1">
      <alignment horizontal="center" vertical="center" wrapText="1"/>
    </xf>
    <xf numFmtId="187" fontId="17" fillId="0" borderId="61" xfId="58" applyNumberFormat="1" applyFont="1" applyBorder="1" applyAlignment="1">
      <alignment horizontal="center" vertical="center" wrapText="1"/>
    </xf>
    <xf numFmtId="187" fontId="17" fillId="0" borderId="79" xfId="58" applyNumberFormat="1" applyFont="1" applyBorder="1" applyAlignment="1">
      <alignment horizontal="center" vertical="center" wrapText="1"/>
    </xf>
    <xf numFmtId="187" fontId="17" fillId="0" borderId="80" xfId="58" applyNumberFormat="1" applyFont="1" applyBorder="1" applyAlignment="1">
      <alignment horizontal="center" vertical="center" wrapText="1"/>
    </xf>
    <xf numFmtId="187" fontId="17" fillId="0" borderId="76" xfId="58" applyNumberFormat="1" applyFont="1" applyBorder="1" applyAlignment="1">
      <alignment horizontal="center" vertical="center" wrapText="1"/>
    </xf>
    <xf numFmtId="187" fontId="17" fillId="0" borderId="64" xfId="58" applyNumberFormat="1" applyFont="1" applyBorder="1" applyAlignment="1">
      <alignment horizontal="center" vertical="center" wrapText="1"/>
    </xf>
    <xf numFmtId="187" fontId="17" fillId="0" borderId="0" xfId="58" applyNumberFormat="1" applyFont="1" applyAlignment="1">
      <alignment horizontal="center" vertical="center" wrapText="1"/>
    </xf>
    <xf numFmtId="43" fontId="17" fillId="0" borderId="0" xfId="58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87" fontId="17" fillId="0" borderId="0" xfId="58" applyNumberFormat="1" applyFont="1" applyBorder="1" applyAlignment="1">
      <alignment horizontal="center" vertical="center" wrapText="1"/>
    </xf>
    <xf numFmtId="187" fontId="17" fillId="0" borderId="32" xfId="58" applyNumberFormat="1" applyFont="1" applyBorder="1" applyAlignment="1">
      <alignment horizontal="center" vertical="center" wrapText="1"/>
    </xf>
    <xf numFmtId="187" fontId="17" fillId="0" borderId="48" xfId="58" applyNumberFormat="1" applyFont="1" applyBorder="1" applyAlignment="1">
      <alignment horizontal="center" vertical="center" wrapText="1"/>
    </xf>
    <xf numFmtId="187" fontId="17" fillId="0" borderId="81" xfId="58" applyNumberFormat="1" applyFont="1" applyBorder="1" applyAlignment="1">
      <alignment horizontal="center" vertical="center" wrapText="1"/>
    </xf>
    <xf numFmtId="187" fontId="17" fillId="0" borderId="40" xfId="58" applyNumberFormat="1" applyFont="1" applyBorder="1" applyAlignment="1">
      <alignment horizontal="center" vertical="center" wrapText="1"/>
    </xf>
    <xf numFmtId="187" fontId="17" fillId="0" borderId="49" xfId="58" applyNumberFormat="1" applyFont="1" applyBorder="1" applyAlignment="1">
      <alignment horizontal="center" vertical="center" wrapText="1"/>
    </xf>
    <xf numFmtId="187" fontId="17" fillId="0" borderId="45" xfId="58" applyNumberFormat="1" applyFont="1" applyBorder="1" applyAlignment="1">
      <alignment horizontal="center" vertical="center" wrapText="1"/>
    </xf>
    <xf numFmtId="187" fontId="17" fillId="0" borderId="17" xfId="58" applyNumberFormat="1" applyFont="1" applyBorder="1" applyAlignment="1">
      <alignment horizontal="center" vertical="center" wrapText="1"/>
    </xf>
    <xf numFmtId="187" fontId="17" fillId="0" borderId="19" xfId="58" applyNumberFormat="1" applyFont="1" applyBorder="1" applyAlignment="1">
      <alignment horizontal="center" vertical="center" wrapText="1"/>
    </xf>
    <xf numFmtId="187" fontId="17" fillId="0" borderId="50" xfId="58" applyNumberFormat="1" applyFont="1" applyBorder="1" applyAlignment="1">
      <alignment horizontal="center" vertical="center" wrapText="1"/>
    </xf>
    <xf numFmtId="187" fontId="17" fillId="0" borderId="82" xfId="58" applyNumberFormat="1" applyFont="1" applyBorder="1" applyAlignment="1">
      <alignment horizontal="center" vertical="center" wrapText="1"/>
    </xf>
    <xf numFmtId="187" fontId="17" fillId="0" borderId="33" xfId="58" applyNumberFormat="1" applyFont="1" applyBorder="1" applyAlignment="1">
      <alignment horizontal="center" vertical="center" wrapText="1"/>
    </xf>
    <xf numFmtId="187" fontId="17" fillId="0" borderId="74" xfId="58" applyNumberFormat="1" applyFont="1" applyBorder="1" applyAlignment="1">
      <alignment horizontal="center" vertical="center" wrapText="1"/>
    </xf>
    <xf numFmtId="187" fontId="17" fillId="0" borderId="46" xfId="58" applyNumberFormat="1" applyFont="1" applyBorder="1" applyAlignment="1">
      <alignment horizontal="center" vertical="center" wrapText="1"/>
    </xf>
    <xf numFmtId="187" fontId="17" fillId="0" borderId="55" xfId="58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87" fontId="19" fillId="0" borderId="16" xfId="58" applyNumberFormat="1" applyFont="1" applyBorder="1" applyAlignment="1">
      <alignment horizontal="center" vertical="center" wrapText="1"/>
    </xf>
    <xf numFmtId="187" fontId="19" fillId="0" borderId="11" xfId="58" applyNumberFormat="1" applyFont="1" applyBorder="1" applyAlignment="1">
      <alignment horizontal="center" vertical="center" wrapText="1"/>
    </xf>
    <xf numFmtId="187" fontId="19" fillId="0" borderId="12" xfId="58" applyNumberFormat="1" applyFont="1" applyBorder="1" applyAlignment="1">
      <alignment horizontal="center" vertical="center" wrapText="1"/>
    </xf>
    <xf numFmtId="187" fontId="19" fillId="0" borderId="67" xfId="58" applyNumberFormat="1" applyFont="1" applyBorder="1" applyAlignment="1">
      <alignment horizontal="center" vertical="center" wrapText="1"/>
    </xf>
    <xf numFmtId="187" fontId="19" fillId="0" borderId="13" xfId="58" applyNumberFormat="1" applyFont="1" applyBorder="1" applyAlignment="1">
      <alignment horizontal="center" vertical="center" wrapText="1"/>
    </xf>
    <xf numFmtId="187" fontId="19" fillId="0" borderId="22" xfId="58" applyNumberFormat="1" applyFont="1" applyBorder="1" applyAlignment="1">
      <alignment horizontal="center" vertical="center" wrapText="1"/>
    </xf>
    <xf numFmtId="187" fontId="19" fillId="0" borderId="70" xfId="58" applyNumberFormat="1" applyFont="1" applyBorder="1" applyAlignment="1">
      <alignment horizontal="center" vertical="center" wrapText="1"/>
    </xf>
    <xf numFmtId="187" fontId="19" fillId="0" borderId="71" xfId="58" applyNumberFormat="1" applyFont="1" applyBorder="1" applyAlignment="1">
      <alignment horizontal="center" vertical="center" wrapText="1"/>
    </xf>
    <xf numFmtId="187" fontId="19" fillId="0" borderId="18" xfId="58" applyNumberFormat="1" applyFont="1" applyBorder="1" applyAlignment="1">
      <alignment horizontal="center" vertical="center" wrapText="1"/>
    </xf>
    <xf numFmtId="187" fontId="19" fillId="0" borderId="19" xfId="58" applyNumberFormat="1" applyFont="1" applyBorder="1" applyAlignment="1">
      <alignment horizontal="center" vertical="center" wrapText="1"/>
    </xf>
    <xf numFmtId="187" fontId="19" fillId="0" borderId="20" xfId="58" applyNumberFormat="1" applyFont="1" applyBorder="1" applyAlignment="1">
      <alignment horizontal="center" vertical="center" wrapText="1"/>
    </xf>
    <xf numFmtId="187" fontId="19" fillId="0" borderId="47" xfId="58" applyNumberFormat="1" applyFont="1" applyBorder="1" applyAlignment="1">
      <alignment horizontal="center" vertical="center" wrapText="1"/>
    </xf>
    <xf numFmtId="187" fontId="19" fillId="0" borderId="0" xfId="58" applyNumberFormat="1" applyFont="1" applyAlignment="1">
      <alignment horizontal="center" vertical="center" wrapText="1"/>
    </xf>
    <xf numFmtId="43" fontId="19" fillId="0" borderId="0" xfId="58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53" xfId="0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87" fontId="17" fillId="0" borderId="21" xfId="58" applyNumberFormat="1" applyFont="1" applyBorder="1" applyAlignment="1">
      <alignment horizontal="center" vertical="center" wrapText="1"/>
    </xf>
    <xf numFmtId="187" fontId="17" fillId="0" borderId="18" xfId="58" applyNumberFormat="1" applyFont="1" applyBorder="1" applyAlignment="1">
      <alignment horizontal="center" vertical="center" wrapText="1"/>
    </xf>
    <xf numFmtId="187" fontId="17" fillId="0" borderId="67" xfId="58" applyNumberFormat="1" applyFont="1" applyBorder="1" applyAlignment="1">
      <alignment horizontal="center" vertical="center" wrapText="1"/>
    </xf>
    <xf numFmtId="187" fontId="17" fillId="0" borderId="11" xfId="58" applyNumberFormat="1" applyFont="1" applyBorder="1" applyAlignment="1">
      <alignment horizontal="center" vertical="center" wrapText="1"/>
    </xf>
    <xf numFmtId="187" fontId="17" fillId="0" borderId="12" xfId="58" applyNumberFormat="1" applyFont="1" applyBorder="1" applyAlignment="1">
      <alignment horizontal="center" vertical="center" wrapText="1"/>
    </xf>
    <xf numFmtId="187" fontId="17" fillId="0" borderId="20" xfId="58" applyNumberFormat="1" applyFont="1" applyBorder="1" applyAlignment="1">
      <alignment horizontal="center" vertical="center" wrapText="1"/>
    </xf>
    <xf numFmtId="187" fontId="17" fillId="0" borderId="83" xfId="58" applyNumberFormat="1" applyFont="1" applyBorder="1" applyAlignment="1">
      <alignment horizontal="center" vertical="center" wrapText="1"/>
    </xf>
    <xf numFmtId="187" fontId="17" fillId="0" borderId="47" xfId="58" applyNumberFormat="1" applyFont="1" applyBorder="1" applyAlignment="1">
      <alignment horizontal="center" vertical="center" wrapText="1"/>
    </xf>
    <xf numFmtId="187" fontId="17" fillId="0" borderId="0" xfId="0" applyNumberFormat="1" applyFont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41" fontId="16" fillId="0" borderId="35" xfId="59" applyFont="1" applyBorder="1" applyAlignment="1">
      <alignment horizontal="center" vertical="center" wrapText="1"/>
    </xf>
    <xf numFmtId="41" fontId="16" fillId="0" borderId="36" xfId="59" applyFont="1" applyBorder="1" applyAlignment="1">
      <alignment horizontal="center" vertical="center" wrapText="1"/>
    </xf>
    <xf numFmtId="187" fontId="16" fillId="0" borderId="35" xfId="58" applyNumberFormat="1" applyFont="1" applyBorder="1" applyAlignment="1">
      <alignment horizontal="center" vertical="center" wrapText="1"/>
    </xf>
    <xf numFmtId="43" fontId="16" fillId="0" borderId="60" xfId="58" applyFont="1" applyBorder="1" applyAlignment="1">
      <alignment horizontal="center" vertical="center" wrapText="1"/>
    </xf>
    <xf numFmtId="187" fontId="16" fillId="0" borderId="34" xfId="58" applyNumberFormat="1" applyFont="1" applyBorder="1" applyAlignment="1">
      <alignment horizontal="center" vertical="center" wrapText="1"/>
    </xf>
    <xf numFmtId="43" fontId="16" fillId="0" borderId="75" xfId="58" applyFont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187" fontId="16" fillId="0" borderId="24" xfId="58" applyNumberFormat="1" applyFont="1" applyBorder="1" applyAlignment="1">
      <alignment horizontal="center" vertical="center" wrapText="1"/>
    </xf>
    <xf numFmtId="43" fontId="16" fillId="0" borderId="27" xfId="58" applyFont="1" applyBorder="1" applyAlignment="1">
      <alignment horizontal="center" vertical="center" wrapText="1"/>
    </xf>
    <xf numFmtId="187" fontId="16" fillId="0" borderId="25" xfId="58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87" fontId="16" fillId="0" borderId="25" xfId="58" applyNumberFormat="1" applyFont="1" applyBorder="1" applyAlignment="1">
      <alignment horizontal="center"/>
    </xf>
    <xf numFmtId="187" fontId="16" fillId="0" borderId="25" xfId="58" applyNumberFormat="1" applyFont="1" applyBorder="1" applyAlignment="1">
      <alignment vertical="center" wrapText="1"/>
    </xf>
    <xf numFmtId="43" fontId="16" fillId="0" borderId="64" xfId="58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0" borderId="25" xfId="0" applyFont="1" applyBorder="1" applyAlignment="1">
      <alignment/>
    </xf>
    <xf numFmtId="43" fontId="16" fillId="0" borderId="25" xfId="58" applyFont="1" applyBorder="1" applyAlignment="1">
      <alignment horizontal="center" vertical="center"/>
    </xf>
    <xf numFmtId="187" fontId="0" fillId="0" borderId="0" xfId="0" applyNumberFormat="1" applyAlignment="1">
      <alignment/>
    </xf>
    <xf numFmtId="43" fontId="0" fillId="0" borderId="64" xfId="58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87" fontId="0" fillId="0" borderId="64" xfId="58" applyNumberFormat="1" applyFont="1" applyBorder="1" applyAlignment="1">
      <alignment/>
    </xf>
    <xf numFmtId="0" fontId="15" fillId="0" borderId="28" xfId="0" applyFont="1" applyFill="1" applyBorder="1" applyAlignment="1">
      <alignment horizontal="center" vertical="center"/>
    </xf>
    <xf numFmtId="186" fontId="16" fillId="0" borderId="65" xfId="58" applyNumberFormat="1" applyFont="1" applyBorder="1" applyAlignment="1">
      <alignment horizontal="center" vertical="center"/>
    </xf>
    <xf numFmtId="43" fontId="16" fillId="0" borderId="30" xfId="58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87" fontId="16" fillId="0" borderId="40" xfId="58" applyNumberFormat="1" applyFont="1" applyBorder="1" applyAlignment="1">
      <alignment horizontal="center" vertical="center" wrapText="1"/>
    </xf>
    <xf numFmtId="43" fontId="16" fillId="0" borderId="84" xfId="58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187" fontId="2" fillId="0" borderId="17" xfId="58" applyNumberFormat="1" applyFont="1" applyBorder="1" applyAlignment="1">
      <alignment horizontal="center" vertical="center"/>
    </xf>
    <xf numFmtId="43" fontId="2" fillId="0" borderId="17" xfId="58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2" fontId="16" fillId="0" borderId="66" xfId="59" applyNumberFormat="1" applyFont="1" applyBorder="1" applyAlignment="1">
      <alignment horizontal="center" vertical="center" wrapText="1"/>
    </xf>
    <xf numFmtId="174" fontId="16" fillId="0" borderId="65" xfId="59" applyNumberFormat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87" fontId="2" fillId="0" borderId="59" xfId="58" applyNumberFormat="1" applyFont="1" applyBorder="1" applyAlignment="1">
      <alignment horizontal="center" vertical="center" wrapText="1"/>
    </xf>
    <xf numFmtId="43" fontId="2" fillId="0" borderId="85" xfId="58" applyNumberFormat="1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7" fontId="3" fillId="0" borderId="33" xfId="0" applyNumberFormat="1" applyFont="1" applyBorder="1" applyAlignment="1">
      <alignment horizontal="center" vertical="center"/>
    </xf>
    <xf numFmtId="187" fontId="3" fillId="0" borderId="82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187" fontId="3" fillId="0" borderId="85" xfId="0" applyNumberFormat="1" applyFont="1" applyBorder="1" applyAlignment="1">
      <alignment horizontal="center" vertical="center"/>
    </xf>
    <xf numFmtId="187" fontId="7" fillId="0" borderId="35" xfId="58" applyNumberFormat="1" applyFont="1" applyBorder="1" applyAlignment="1">
      <alignment horizontal="center" vertical="center" wrapText="1"/>
    </xf>
    <xf numFmtId="187" fontId="7" fillId="0" borderId="59" xfId="58" applyNumberFormat="1" applyFont="1" applyBorder="1" applyAlignment="1">
      <alignment horizontal="center" vertical="center" wrapText="1"/>
    </xf>
    <xf numFmtId="187" fontId="7" fillId="0" borderId="79" xfId="58" applyNumberFormat="1" applyFont="1" applyBorder="1" applyAlignment="1">
      <alignment horizontal="center" vertical="center" wrapText="1"/>
    </xf>
    <xf numFmtId="187" fontId="17" fillId="0" borderId="30" xfId="58" applyNumberFormat="1" applyFont="1" applyBorder="1" applyAlignment="1">
      <alignment horizontal="center" vertical="center" wrapText="1"/>
    </xf>
    <xf numFmtId="187" fontId="17" fillId="0" borderId="66" xfId="58" applyNumberFormat="1" applyFont="1" applyBorder="1" applyAlignment="1">
      <alignment horizontal="center" vertical="center" wrapText="1"/>
    </xf>
    <xf numFmtId="187" fontId="17" fillId="0" borderId="31" xfId="58" applyNumberFormat="1" applyFont="1" applyBorder="1" applyAlignment="1">
      <alignment horizontal="center" vertical="center" wrapText="1"/>
    </xf>
    <xf numFmtId="187" fontId="17" fillId="0" borderId="65" xfId="58" applyNumberFormat="1" applyFont="1" applyBorder="1" applyAlignment="1">
      <alignment horizontal="center" vertical="center" wrapText="1"/>
    </xf>
    <xf numFmtId="187" fontId="19" fillId="0" borderId="10" xfId="58" applyNumberFormat="1" applyFont="1" applyBorder="1" applyAlignment="1">
      <alignment horizontal="center" vertical="center" wrapText="1"/>
    </xf>
    <xf numFmtId="187" fontId="19" fillId="0" borderId="53" xfId="58" applyNumberFormat="1" applyFont="1" applyBorder="1" applyAlignment="1">
      <alignment horizontal="center" vertical="center" wrapText="1"/>
    </xf>
    <xf numFmtId="187" fontId="19" fillId="0" borderId="17" xfId="58" applyNumberFormat="1" applyFont="1" applyBorder="1" applyAlignment="1">
      <alignment horizontal="center" vertical="center" wrapText="1"/>
    </xf>
    <xf numFmtId="187" fontId="19" fillId="0" borderId="73" xfId="58" applyNumberFormat="1" applyFont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187" fontId="2" fillId="0" borderId="20" xfId="58" applyNumberFormat="1" applyFont="1" applyFill="1" applyBorder="1" applyAlignment="1">
      <alignment horizontal="center" vertical="center"/>
    </xf>
    <xf numFmtId="187" fontId="2" fillId="0" borderId="21" xfId="58" applyNumberFormat="1" applyFont="1" applyFill="1" applyBorder="1" applyAlignment="1">
      <alignment horizontal="center" vertical="center"/>
    </xf>
    <xf numFmtId="187" fontId="2" fillId="33" borderId="0" xfId="58" applyNumberFormat="1" applyFont="1" applyFill="1" applyBorder="1" applyAlignment="1">
      <alignment horizontal="center" vertical="center"/>
    </xf>
    <xf numFmtId="185" fontId="6" fillId="0" borderId="0" xfId="0" applyNumberFormat="1" applyFont="1" applyFill="1" applyAlignment="1">
      <alignment/>
    </xf>
    <xf numFmtId="187" fontId="2" fillId="33" borderId="17" xfId="58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/>
    </xf>
    <xf numFmtId="187" fontId="22" fillId="0" borderId="76" xfId="0" applyNumberFormat="1" applyFont="1" applyFill="1" applyBorder="1" applyAlignment="1">
      <alignment/>
    </xf>
    <xf numFmtId="187" fontId="22" fillId="33" borderId="45" xfId="58" applyNumberFormat="1" applyFont="1" applyFill="1" applyBorder="1" applyAlignment="1">
      <alignment horizontal="center" vertical="center"/>
    </xf>
    <xf numFmtId="187" fontId="22" fillId="33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56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87" fontId="24" fillId="0" borderId="0" xfId="0" applyNumberFormat="1" applyFont="1" applyFill="1" applyAlignment="1">
      <alignment/>
    </xf>
    <xf numFmtId="187" fontId="24" fillId="0" borderId="12" xfId="58" applyNumberFormat="1" applyFont="1" applyFill="1" applyBorder="1" applyAlignment="1">
      <alignment horizontal="center" vertical="center"/>
    </xf>
    <xf numFmtId="43" fontId="2" fillId="0" borderId="38" xfId="58" applyFont="1" applyFill="1" applyBorder="1" applyAlignment="1">
      <alignment horizontal="center" vertical="center" wrapText="1"/>
    </xf>
    <xf numFmtId="185" fontId="2" fillId="0" borderId="0" xfId="58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/>
    </xf>
    <xf numFmtId="187" fontId="24" fillId="0" borderId="76" xfId="0" applyNumberFormat="1" applyFont="1" applyFill="1" applyBorder="1" applyAlignment="1">
      <alignment/>
    </xf>
    <xf numFmtId="0" fontId="6" fillId="0" borderId="76" xfId="0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/>
    </xf>
    <xf numFmtId="216" fontId="6" fillId="0" borderId="76" xfId="0" applyNumberFormat="1" applyFont="1" applyFill="1" applyBorder="1" applyAlignment="1">
      <alignment/>
    </xf>
    <xf numFmtId="187" fontId="2" fillId="0" borderId="76" xfId="58" applyNumberFormat="1" applyFont="1" applyFill="1" applyBorder="1" applyAlignment="1">
      <alignment horizontal="center" vertical="center"/>
    </xf>
    <xf numFmtId="187" fontId="1" fillId="0" borderId="24" xfId="58" applyNumberFormat="1" applyFont="1" applyFill="1" applyBorder="1" applyAlignment="1">
      <alignment horizontal="center" vertical="center" wrapText="1"/>
    </xf>
    <xf numFmtId="187" fontId="1" fillId="0" borderId="23" xfId="58" applyNumberFormat="1" applyFont="1" applyFill="1" applyBorder="1" applyAlignment="1">
      <alignment horizontal="center" vertical="center" wrapText="1"/>
    </xf>
    <xf numFmtId="187" fontId="6" fillId="0" borderId="0" xfId="58" applyNumberFormat="1" applyFont="1" applyFill="1" applyAlignment="1">
      <alignment horizontal="center" vertical="center"/>
    </xf>
    <xf numFmtId="187" fontId="11" fillId="0" borderId="24" xfId="58" applyNumberFormat="1" applyFont="1" applyFill="1" applyBorder="1" applyAlignment="1">
      <alignment horizontal="center" vertical="center" wrapText="1"/>
    </xf>
    <xf numFmtId="187" fontId="1" fillId="0" borderId="24" xfId="58" applyNumberFormat="1" applyFont="1" applyFill="1" applyBorder="1" applyAlignment="1">
      <alignment horizontal="center" vertical="center"/>
    </xf>
    <xf numFmtId="187" fontId="1" fillId="0" borderId="29" xfId="58" applyNumberFormat="1" applyFont="1" applyFill="1" applyBorder="1" applyAlignment="1">
      <alignment horizontal="center" vertical="center"/>
    </xf>
    <xf numFmtId="187" fontId="1" fillId="0" borderId="28" xfId="58" applyNumberFormat="1" applyFont="1" applyFill="1" applyBorder="1" applyAlignment="1">
      <alignment horizontal="center" vertical="center"/>
    </xf>
    <xf numFmtId="187" fontId="1" fillId="0" borderId="41" xfId="58" applyNumberFormat="1" applyFont="1" applyFill="1" applyBorder="1" applyAlignment="1">
      <alignment horizontal="center" vertical="center"/>
    </xf>
    <xf numFmtId="187" fontId="0" fillId="0" borderId="45" xfId="58" applyNumberFormat="1" applyFont="1" applyFill="1" applyBorder="1" applyAlignment="1">
      <alignment horizontal="center" vertical="center"/>
    </xf>
    <xf numFmtId="187" fontId="1" fillId="0" borderId="44" xfId="58" applyNumberFormat="1" applyFont="1" applyFill="1" applyBorder="1" applyAlignment="1">
      <alignment horizontal="center" vertical="center" wrapText="1"/>
    </xf>
    <xf numFmtId="187" fontId="1" fillId="0" borderId="32" xfId="58" applyNumberFormat="1" applyFont="1" applyFill="1" applyBorder="1" applyAlignment="1">
      <alignment horizontal="center" vertical="center"/>
    </xf>
    <xf numFmtId="187" fontId="1" fillId="0" borderId="15" xfId="58" applyNumberFormat="1" applyFont="1" applyFill="1" applyBorder="1" applyAlignment="1">
      <alignment horizontal="center" vertical="center" wrapText="1"/>
    </xf>
    <xf numFmtId="187" fontId="1" fillId="0" borderId="53" xfId="58" applyNumberFormat="1" applyFont="1" applyFill="1" applyBorder="1" applyAlignment="1">
      <alignment horizontal="center" vertical="center" wrapText="1"/>
    </xf>
    <xf numFmtId="187" fontId="1" fillId="0" borderId="45" xfId="58" applyNumberFormat="1" applyFont="1" applyFill="1" applyBorder="1" applyAlignment="1">
      <alignment horizontal="center" vertical="center"/>
    </xf>
    <xf numFmtId="187" fontId="1" fillId="0" borderId="53" xfId="58" applyNumberFormat="1" applyFont="1" applyFill="1" applyBorder="1" applyAlignment="1">
      <alignment horizontal="center" vertical="center"/>
    </xf>
    <xf numFmtId="187" fontId="1" fillId="0" borderId="29" xfId="58" applyNumberFormat="1" applyFont="1" applyFill="1" applyBorder="1" applyAlignment="1">
      <alignment horizontal="center" vertical="center" wrapText="1"/>
    </xf>
    <xf numFmtId="187" fontId="1" fillId="0" borderId="40" xfId="58" applyNumberFormat="1" applyFont="1" applyFill="1" applyBorder="1" applyAlignment="1">
      <alignment horizontal="center" vertical="center" wrapText="1"/>
    </xf>
    <xf numFmtId="187" fontId="1" fillId="0" borderId="13" xfId="58" applyNumberFormat="1" applyFont="1" applyFill="1" applyBorder="1" applyAlignment="1">
      <alignment horizontal="center" vertical="center"/>
    </xf>
    <xf numFmtId="187" fontId="1" fillId="33" borderId="11" xfId="58" applyNumberFormat="1" applyFont="1" applyFill="1" applyBorder="1" applyAlignment="1">
      <alignment horizontal="center" vertical="center" wrapText="1"/>
    </xf>
    <xf numFmtId="187" fontId="1" fillId="33" borderId="58" xfId="58" applyNumberFormat="1" applyFont="1" applyFill="1" applyBorder="1" applyAlignment="1">
      <alignment horizontal="center" vertical="center" wrapText="1"/>
    </xf>
    <xf numFmtId="187" fontId="1" fillId="33" borderId="15" xfId="58" applyNumberFormat="1" applyFont="1" applyFill="1" applyBorder="1" applyAlignment="1">
      <alignment horizontal="center" vertical="center" wrapText="1"/>
    </xf>
    <xf numFmtId="187" fontId="1" fillId="33" borderId="29" xfId="58" applyNumberFormat="1" applyFont="1" applyFill="1" applyBorder="1" applyAlignment="1">
      <alignment horizontal="center" vertical="center" wrapText="1"/>
    </xf>
    <xf numFmtId="187" fontId="1" fillId="33" borderId="14" xfId="58" applyNumberFormat="1" applyFont="1" applyFill="1" applyBorder="1" applyAlignment="1">
      <alignment horizontal="center" vertical="center" wrapText="1"/>
    </xf>
    <xf numFmtId="187" fontId="1" fillId="33" borderId="24" xfId="58" applyNumberFormat="1" applyFont="1" applyFill="1" applyBorder="1" applyAlignment="1">
      <alignment horizontal="center" vertical="center" wrapText="1"/>
    </xf>
    <xf numFmtId="187" fontId="1" fillId="33" borderId="44" xfId="58" applyNumberFormat="1" applyFont="1" applyFill="1" applyBorder="1" applyAlignment="1">
      <alignment horizontal="center" vertical="center" wrapText="1"/>
    </xf>
    <xf numFmtId="187" fontId="1" fillId="33" borderId="15" xfId="58" applyNumberFormat="1" applyFont="1" applyFill="1" applyBorder="1" applyAlignment="1">
      <alignment horizontal="center" vertical="center"/>
    </xf>
    <xf numFmtId="187" fontId="3" fillId="33" borderId="11" xfId="58" applyNumberFormat="1" applyFont="1" applyFill="1" applyBorder="1" applyAlignment="1">
      <alignment horizontal="center" vertical="center"/>
    </xf>
    <xf numFmtId="187" fontId="7" fillId="33" borderId="0" xfId="58" applyNumberFormat="1" applyFont="1" applyFill="1" applyAlignment="1">
      <alignment horizontal="center" vertical="center" wrapText="1"/>
    </xf>
    <xf numFmtId="187" fontId="12" fillId="33" borderId="0" xfId="58" applyNumberFormat="1" applyFont="1" applyFill="1" applyAlignment="1">
      <alignment horizontal="center" vertical="center" wrapText="1"/>
    </xf>
    <xf numFmtId="187" fontId="6" fillId="33" borderId="0" xfId="58" applyNumberFormat="1" applyFont="1" applyFill="1" applyAlignment="1">
      <alignment horizontal="center" vertical="center" wrapText="1"/>
    </xf>
    <xf numFmtId="187" fontId="6" fillId="0" borderId="0" xfId="58" applyNumberFormat="1" applyFont="1" applyAlignment="1">
      <alignment horizontal="center" vertical="center" wrapText="1"/>
    </xf>
    <xf numFmtId="0" fontId="24" fillId="0" borderId="56" xfId="0" applyFont="1" applyBorder="1" applyAlignment="1">
      <alignment horizontal="center"/>
    </xf>
    <xf numFmtId="187" fontId="6" fillId="0" borderId="41" xfId="58" applyNumberFormat="1" applyFont="1" applyFill="1" applyBorder="1" applyAlignment="1">
      <alignment horizontal="center" vertical="center" wrapText="1"/>
    </xf>
    <xf numFmtId="187" fontId="6" fillId="0" borderId="23" xfId="58" applyNumberFormat="1" applyFont="1" applyFill="1" applyBorder="1" applyAlignment="1">
      <alignment horizontal="center" vertical="center" wrapText="1"/>
    </xf>
    <xf numFmtId="187" fontId="6" fillId="0" borderId="23" xfId="58" applyNumberFormat="1" applyFont="1" applyFill="1" applyBorder="1" applyAlignment="1">
      <alignment horizontal="center" vertical="center"/>
    </xf>
    <xf numFmtId="187" fontId="2" fillId="0" borderId="23" xfId="58" applyNumberFormat="1" applyFont="1" applyFill="1" applyBorder="1" applyAlignment="1">
      <alignment horizontal="center" vertical="center"/>
    </xf>
    <xf numFmtId="187" fontId="2" fillId="0" borderId="44" xfId="58" applyNumberFormat="1" applyFont="1" applyFill="1" applyBorder="1" applyAlignment="1">
      <alignment horizontal="center" vertical="center"/>
    </xf>
    <xf numFmtId="187" fontId="6" fillId="0" borderId="15" xfId="58" applyNumberFormat="1" applyFont="1" applyFill="1" applyBorder="1" applyAlignment="1">
      <alignment horizontal="center" vertical="center"/>
    </xf>
    <xf numFmtId="187" fontId="6" fillId="0" borderId="28" xfId="58" applyNumberFormat="1" applyFont="1" applyFill="1" applyBorder="1" applyAlignment="1">
      <alignment horizontal="center" vertical="center"/>
    </xf>
    <xf numFmtId="187" fontId="2" fillId="0" borderId="13" xfId="58" applyNumberFormat="1" applyFont="1" applyFill="1" applyBorder="1" applyAlignment="1">
      <alignment horizontal="center" vertical="center"/>
    </xf>
    <xf numFmtId="187" fontId="2" fillId="0" borderId="26" xfId="58" applyNumberFormat="1" applyFont="1" applyFill="1" applyBorder="1" applyAlignment="1">
      <alignment horizontal="center" vertical="center"/>
    </xf>
    <xf numFmtId="187" fontId="2" fillId="0" borderId="49" xfId="58" applyNumberFormat="1" applyFont="1" applyFill="1" applyBorder="1" applyAlignment="1">
      <alignment horizontal="center" vertical="center"/>
    </xf>
    <xf numFmtId="187" fontId="2" fillId="0" borderId="18" xfId="58" applyNumberFormat="1" applyFont="1" applyFill="1" applyBorder="1" applyAlignment="1">
      <alignment horizontal="center" vertical="center"/>
    </xf>
    <xf numFmtId="187" fontId="6" fillId="0" borderId="24" xfId="58" applyNumberFormat="1" applyFont="1" applyFill="1" applyBorder="1" applyAlignment="1">
      <alignment horizontal="center" vertical="center"/>
    </xf>
    <xf numFmtId="187" fontId="2" fillId="0" borderId="24" xfId="58" applyNumberFormat="1" applyFont="1" applyFill="1" applyBorder="1" applyAlignment="1">
      <alignment horizontal="center" vertical="center"/>
    </xf>
    <xf numFmtId="187" fontId="2" fillId="0" borderId="40" xfId="58" applyNumberFormat="1" applyFont="1" applyFill="1" applyBorder="1" applyAlignment="1">
      <alignment horizontal="center" vertical="center"/>
    </xf>
    <xf numFmtId="187" fontId="6" fillId="0" borderId="32" xfId="58" applyNumberFormat="1" applyFont="1" applyFill="1" applyBorder="1" applyAlignment="1">
      <alignment horizontal="center" vertical="center"/>
    </xf>
    <xf numFmtId="187" fontId="6" fillId="0" borderId="29" xfId="58" applyNumberFormat="1" applyFont="1" applyFill="1" applyBorder="1" applyAlignment="1">
      <alignment horizontal="center" vertical="center"/>
    </xf>
    <xf numFmtId="187" fontId="6" fillId="0" borderId="37" xfId="58" applyNumberFormat="1" applyFont="1" applyFill="1" applyBorder="1" applyAlignment="1">
      <alignment horizontal="center" vertical="center" wrapText="1"/>
    </xf>
    <xf numFmtId="187" fontId="6" fillId="0" borderId="38" xfId="58" applyNumberFormat="1" applyFont="1" applyFill="1" applyBorder="1" applyAlignment="1">
      <alignment horizontal="center" vertical="center" wrapText="1"/>
    </xf>
    <xf numFmtId="187" fontId="6" fillId="0" borderId="38" xfId="58" applyNumberFormat="1" applyFont="1" applyFill="1" applyBorder="1" applyAlignment="1">
      <alignment horizontal="center" vertical="center"/>
    </xf>
    <xf numFmtId="187" fontId="2" fillId="0" borderId="38" xfId="58" applyNumberFormat="1" applyFont="1" applyFill="1" applyBorder="1" applyAlignment="1">
      <alignment horizontal="center" vertical="center"/>
    </xf>
    <xf numFmtId="187" fontId="2" fillId="0" borderId="86" xfId="58" applyNumberFormat="1" applyFont="1" applyFill="1" applyBorder="1" applyAlignment="1">
      <alignment horizontal="center" vertical="center"/>
    </xf>
    <xf numFmtId="187" fontId="6" fillId="0" borderId="45" xfId="58" applyNumberFormat="1" applyFont="1" applyFill="1" applyBorder="1" applyAlignment="1">
      <alignment horizontal="center" vertical="center"/>
    </xf>
    <xf numFmtId="187" fontId="6" fillId="0" borderId="41" xfId="58" applyNumberFormat="1" applyFont="1" applyFill="1" applyBorder="1" applyAlignment="1">
      <alignment horizontal="center" vertical="center"/>
    </xf>
    <xf numFmtId="187" fontId="6" fillId="0" borderId="14" xfId="58" applyNumberFormat="1" applyFont="1" applyFill="1" applyBorder="1" applyAlignment="1">
      <alignment horizontal="center" vertical="center"/>
    </xf>
    <xf numFmtId="187" fontId="6" fillId="0" borderId="53" xfId="58" applyNumberFormat="1" applyFont="1" applyFill="1" applyBorder="1" applyAlignment="1">
      <alignment horizontal="center" vertical="center"/>
    </xf>
    <xf numFmtId="187" fontId="24" fillId="0" borderId="24" xfId="0" applyNumberFormat="1" applyFont="1" applyFill="1" applyBorder="1" applyAlignment="1">
      <alignment/>
    </xf>
    <xf numFmtId="187" fontId="25" fillId="0" borderId="45" xfId="58" applyNumberFormat="1" applyFont="1" applyFill="1" applyBorder="1" applyAlignment="1">
      <alignment horizontal="center" vertical="center"/>
    </xf>
    <xf numFmtId="187" fontId="24" fillId="0" borderId="32" xfId="0" applyNumberFormat="1" applyFont="1" applyFill="1" applyBorder="1" applyAlignment="1">
      <alignment/>
    </xf>
    <xf numFmtId="187" fontId="24" fillId="0" borderId="11" xfId="58" applyNumberFormat="1" applyFont="1" applyFill="1" applyBorder="1" applyAlignment="1">
      <alignment horizontal="center" vertical="center"/>
    </xf>
    <xf numFmtId="187" fontId="24" fillId="0" borderId="58" xfId="0" applyNumberFormat="1" applyFont="1" applyFill="1" applyBorder="1" applyAlignment="1">
      <alignment/>
    </xf>
    <xf numFmtId="0" fontId="24" fillId="0" borderId="11" xfId="0" applyFont="1" applyBorder="1" applyAlignment="1">
      <alignment/>
    </xf>
    <xf numFmtId="0" fontId="1" fillId="33" borderId="53" xfId="0" applyFont="1" applyFill="1" applyBorder="1" applyAlignment="1">
      <alignment horizontal="center" vertical="center"/>
    </xf>
    <xf numFmtId="187" fontId="1" fillId="33" borderId="45" xfId="58" applyNumberFormat="1" applyFont="1" applyFill="1" applyBorder="1" applyAlignment="1">
      <alignment horizontal="center" vertical="center" wrapText="1"/>
    </xf>
    <xf numFmtId="187" fontId="1" fillId="33" borderId="53" xfId="58" applyNumberFormat="1" applyFont="1" applyFill="1" applyBorder="1" applyAlignment="1">
      <alignment horizontal="center" vertical="center" wrapText="1"/>
    </xf>
    <xf numFmtId="187" fontId="6" fillId="33" borderId="17" xfId="58" applyNumberFormat="1" applyFont="1" applyFill="1" applyBorder="1" applyAlignment="1">
      <alignment horizontal="center" vertical="center" wrapText="1"/>
    </xf>
    <xf numFmtId="187" fontId="6" fillId="33" borderId="17" xfId="58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7" fontId="1" fillId="33" borderId="11" xfId="58" applyNumberFormat="1" applyFont="1" applyFill="1" applyBorder="1" applyAlignment="1">
      <alignment horizontal="center" vertical="center"/>
    </xf>
    <xf numFmtId="187" fontId="2" fillId="33" borderId="16" xfId="58" applyNumberFormat="1" applyFont="1" applyFill="1" applyBorder="1" applyAlignment="1">
      <alignment horizontal="center" vertical="center"/>
    </xf>
    <xf numFmtId="187" fontId="2" fillId="33" borderId="11" xfId="58" applyNumberFormat="1" applyFont="1" applyFill="1" applyBorder="1" applyAlignment="1">
      <alignment horizontal="center" vertical="center"/>
    </xf>
    <xf numFmtId="187" fontId="6" fillId="0" borderId="24" xfId="58" applyNumberFormat="1" applyFont="1" applyBorder="1" applyAlignment="1">
      <alignment horizontal="center" vertical="center"/>
    </xf>
    <xf numFmtId="187" fontId="6" fillId="0" borderId="78" xfId="58" applyNumberFormat="1" applyFont="1" applyBorder="1" applyAlignment="1">
      <alignment horizontal="center" vertical="center"/>
    </xf>
    <xf numFmtId="187" fontId="6" fillId="0" borderId="38" xfId="58" applyNumberFormat="1" applyFont="1" applyBorder="1" applyAlignment="1">
      <alignment horizontal="center" vertical="center"/>
    </xf>
    <xf numFmtId="187" fontId="6" fillId="0" borderId="40" xfId="58" applyNumberFormat="1" applyFont="1" applyBorder="1" applyAlignment="1">
      <alignment horizontal="center" vertical="center"/>
    </xf>
    <xf numFmtId="187" fontId="22" fillId="0" borderId="24" xfId="0" applyNumberFormat="1" applyFont="1" applyFill="1" applyBorder="1" applyAlignment="1">
      <alignment/>
    </xf>
    <xf numFmtId="0" fontId="23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87" fontId="3" fillId="35" borderId="20" xfId="58" applyNumberFormat="1" applyFont="1" applyFill="1" applyBorder="1" applyAlignment="1">
      <alignment horizontal="center" vertical="center"/>
    </xf>
    <xf numFmtId="187" fontId="3" fillId="35" borderId="17" xfId="58" applyNumberFormat="1" applyFont="1" applyFill="1" applyBorder="1" applyAlignment="1">
      <alignment horizontal="center" vertical="center"/>
    </xf>
    <xf numFmtId="187" fontId="3" fillId="35" borderId="45" xfId="58" applyNumberFormat="1" applyFont="1" applyFill="1" applyBorder="1" applyAlignment="1">
      <alignment horizontal="center" vertical="center"/>
    </xf>
    <xf numFmtId="187" fontId="3" fillId="35" borderId="53" xfId="58" applyNumberFormat="1" applyFont="1" applyFill="1" applyBorder="1" applyAlignment="1">
      <alignment horizontal="center" vertical="center"/>
    </xf>
    <xf numFmtId="187" fontId="22" fillId="35" borderId="45" xfId="0" applyNumberFormat="1" applyFont="1" applyFill="1" applyBorder="1" applyAlignment="1">
      <alignment horizontal="center" vertical="center"/>
    </xf>
    <xf numFmtId="187" fontId="1" fillId="36" borderId="56" xfId="58" applyNumberFormat="1" applyFont="1" applyFill="1" applyBorder="1" applyAlignment="1">
      <alignment horizontal="center" vertical="center" wrapText="1"/>
    </xf>
    <xf numFmtId="187" fontId="6" fillId="36" borderId="13" xfId="58" applyNumberFormat="1" applyFont="1" applyFill="1" applyBorder="1" applyAlignment="1">
      <alignment horizontal="center" vertical="center" wrapText="1"/>
    </xf>
    <xf numFmtId="187" fontId="6" fillId="36" borderId="11" xfId="58" applyNumberFormat="1" applyFont="1" applyFill="1" applyBorder="1" applyAlignment="1">
      <alignment horizontal="center" vertical="center" wrapText="1"/>
    </xf>
    <xf numFmtId="187" fontId="6" fillId="36" borderId="47" xfId="58" applyNumberFormat="1" applyFont="1" applyFill="1" applyBorder="1" applyAlignment="1">
      <alignment horizontal="center" vertical="center" wrapText="1"/>
    </xf>
    <xf numFmtId="187" fontId="6" fillId="36" borderId="16" xfId="58" applyNumberFormat="1" applyFont="1" applyFill="1" applyBorder="1" applyAlignment="1">
      <alignment horizontal="center" vertical="center" wrapText="1"/>
    </xf>
    <xf numFmtId="187" fontId="22" fillId="36" borderId="11" xfId="0" applyNumberFormat="1" applyFont="1" applyFill="1" applyBorder="1" applyAlignment="1">
      <alignment/>
    </xf>
    <xf numFmtId="187" fontId="6" fillId="36" borderId="15" xfId="58" applyNumberFormat="1" applyFont="1" applyFill="1" applyBorder="1" applyAlignment="1">
      <alignment horizontal="center" vertical="center" wrapText="1"/>
    </xf>
    <xf numFmtId="187" fontId="6" fillId="36" borderId="32" xfId="58" applyNumberFormat="1" applyFont="1" applyFill="1" applyBorder="1" applyAlignment="1">
      <alignment horizontal="center" vertical="center" wrapText="1"/>
    </xf>
    <xf numFmtId="187" fontId="6" fillId="36" borderId="46" xfId="58" applyNumberFormat="1" applyFont="1" applyFill="1" applyBorder="1" applyAlignment="1">
      <alignment horizontal="center" vertical="center" wrapText="1"/>
    </xf>
    <xf numFmtId="187" fontId="6" fillId="36" borderId="0" xfId="58" applyNumberFormat="1" applyFont="1" applyFill="1" applyBorder="1" applyAlignment="1">
      <alignment horizontal="center" vertical="center" wrapText="1"/>
    </xf>
    <xf numFmtId="187" fontId="1" fillId="36" borderId="47" xfId="58" applyNumberFormat="1" applyFont="1" applyFill="1" applyBorder="1" applyAlignment="1">
      <alignment horizontal="center" vertical="center" wrapText="1"/>
    </xf>
    <xf numFmtId="187" fontId="22" fillId="36" borderId="45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2" fontId="26" fillId="0" borderId="0" xfId="0" applyNumberFormat="1" applyFont="1" applyFill="1" applyAlignment="1">
      <alignment/>
    </xf>
    <xf numFmtId="187" fontId="6" fillId="0" borderId="17" xfId="58" applyNumberFormat="1" applyFont="1" applyFill="1" applyBorder="1" applyAlignment="1">
      <alignment horizontal="center" vertical="center" wrapText="1"/>
    </xf>
    <xf numFmtId="187" fontId="6" fillId="0" borderId="17" xfId="58" applyNumberFormat="1" applyFont="1" applyFill="1" applyBorder="1" applyAlignment="1">
      <alignment horizontal="center" vertical="center"/>
    </xf>
    <xf numFmtId="187" fontId="6" fillId="0" borderId="78" xfId="58" applyNumberFormat="1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187" fontId="6" fillId="0" borderId="70" xfId="58" applyNumberFormat="1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187" fontId="0" fillId="0" borderId="21" xfId="58" applyNumberFormat="1" applyFont="1" applyBorder="1" applyAlignment="1">
      <alignment horizontal="center" vertical="center"/>
    </xf>
    <xf numFmtId="187" fontId="6" fillId="0" borderId="56" xfId="58" applyNumberFormat="1" applyFont="1" applyBorder="1" applyAlignment="1">
      <alignment horizontal="center" vertical="center"/>
    </xf>
    <xf numFmtId="187" fontId="6" fillId="0" borderId="58" xfId="58" applyNumberFormat="1" applyFont="1" applyBorder="1" applyAlignment="1">
      <alignment horizontal="center" vertical="center"/>
    </xf>
    <xf numFmtId="187" fontId="22" fillId="0" borderId="58" xfId="0" applyNumberFormat="1" applyFont="1" applyFill="1" applyBorder="1" applyAlignment="1">
      <alignment/>
    </xf>
    <xf numFmtId="187" fontId="10" fillId="0" borderId="76" xfId="58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87" fontId="6" fillId="0" borderId="58" xfId="58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187" fontId="6" fillId="37" borderId="24" xfId="58" applyNumberFormat="1" applyFont="1" applyFill="1" applyBorder="1" applyAlignment="1">
      <alignment horizontal="center" vertical="center"/>
    </xf>
    <xf numFmtId="187" fontId="1" fillId="0" borderId="77" xfId="58" applyNumberFormat="1" applyFont="1" applyFill="1" applyBorder="1" applyAlignment="1">
      <alignment horizontal="center" vertical="center" wrapText="1"/>
    </xf>
    <xf numFmtId="187" fontId="1" fillId="0" borderId="28" xfId="58" applyNumberFormat="1" applyFont="1" applyFill="1" applyBorder="1" applyAlignment="1">
      <alignment horizontal="center" vertical="center" wrapText="1"/>
    </xf>
    <xf numFmtId="187" fontId="6" fillId="0" borderId="20" xfId="58" applyNumberFormat="1" applyFont="1" applyFill="1" applyBorder="1" applyAlignment="1">
      <alignment horizontal="center" vertical="center" wrapText="1"/>
    </xf>
    <xf numFmtId="187" fontId="6" fillId="0" borderId="61" xfId="58" applyNumberFormat="1" applyFont="1" applyFill="1" applyBorder="1" applyAlignment="1">
      <alignment horizontal="center" vertical="center" wrapText="1"/>
    </xf>
    <xf numFmtId="187" fontId="1" fillId="33" borderId="45" xfId="58" applyNumberFormat="1" applyFont="1" applyFill="1" applyBorder="1" applyAlignment="1">
      <alignment horizontal="center" vertical="center"/>
    </xf>
    <xf numFmtId="187" fontId="1" fillId="0" borderId="76" xfId="58" applyNumberFormat="1" applyFont="1" applyFill="1" applyBorder="1" applyAlignment="1">
      <alignment horizontal="center" vertical="center" wrapText="1"/>
    </xf>
    <xf numFmtId="187" fontId="6" fillId="0" borderId="76" xfId="58" applyNumberFormat="1" applyFont="1" applyFill="1" applyBorder="1" applyAlignment="1">
      <alignment horizontal="center" vertical="center"/>
    </xf>
    <xf numFmtId="187" fontId="1" fillId="0" borderId="68" xfId="58" applyNumberFormat="1" applyFont="1" applyFill="1" applyBorder="1" applyAlignment="1">
      <alignment horizontal="center" vertical="center" wrapText="1"/>
    </xf>
    <xf numFmtId="187" fontId="6" fillId="0" borderId="59" xfId="58" applyNumberFormat="1" applyFont="1" applyFill="1" applyBorder="1" applyAlignment="1">
      <alignment horizontal="center" vertical="center"/>
    </xf>
    <xf numFmtId="187" fontId="6" fillId="0" borderId="59" xfId="58" applyNumberFormat="1" applyFont="1" applyFill="1" applyBorder="1" applyAlignment="1">
      <alignment horizontal="center" vertical="center" wrapText="1"/>
    </xf>
    <xf numFmtId="187" fontId="6" fillId="37" borderId="58" xfId="58" applyNumberFormat="1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187" fontId="6" fillId="0" borderId="76" xfId="58" applyNumberFormat="1" applyFont="1" applyFill="1" applyBorder="1" applyAlignment="1">
      <alignment horizontal="center" vertical="center" wrapText="1"/>
    </xf>
    <xf numFmtId="187" fontId="6" fillId="37" borderId="76" xfId="58" applyNumberFormat="1" applyFont="1" applyFill="1" applyBorder="1" applyAlignment="1">
      <alignment horizontal="center" vertical="center"/>
    </xf>
    <xf numFmtId="187" fontId="2" fillId="0" borderId="28" xfId="58" applyNumberFormat="1" applyFont="1" applyFill="1" applyBorder="1" applyAlignment="1">
      <alignment horizontal="center" vertical="center"/>
    </xf>
    <xf numFmtId="187" fontId="2" fillId="0" borderId="45" xfId="58" applyNumberFormat="1" applyFont="1" applyFill="1" applyBorder="1" applyAlignment="1">
      <alignment horizontal="center" vertical="center"/>
    </xf>
    <xf numFmtId="187" fontId="2" fillId="0" borderId="53" xfId="58" applyNumberFormat="1" applyFont="1" applyFill="1" applyBorder="1" applyAlignment="1">
      <alignment horizontal="center" vertical="center"/>
    </xf>
    <xf numFmtId="187" fontId="24" fillId="0" borderId="45" xfId="58" applyNumberFormat="1" applyFont="1" applyFill="1" applyBorder="1" applyAlignment="1">
      <alignment horizontal="center" vertical="center"/>
    </xf>
    <xf numFmtId="187" fontId="6" fillId="36" borderId="76" xfId="58" applyNumberFormat="1" applyFont="1" applyFill="1" applyBorder="1" applyAlignment="1">
      <alignment horizontal="center" vertical="center" wrapText="1"/>
    </xf>
    <xf numFmtId="187" fontId="6" fillId="0" borderId="63" xfId="58" applyNumberFormat="1" applyFont="1" applyFill="1" applyBorder="1" applyAlignment="1">
      <alignment horizontal="center" vertical="center"/>
    </xf>
    <xf numFmtId="187" fontId="6" fillId="37" borderId="63" xfId="58" applyNumberFormat="1" applyFont="1" applyFill="1" applyBorder="1" applyAlignment="1">
      <alignment horizontal="center" vertical="center"/>
    </xf>
    <xf numFmtId="187" fontId="6" fillId="37" borderId="77" xfId="58" applyNumberFormat="1" applyFont="1" applyFill="1" applyBorder="1" applyAlignment="1">
      <alignment horizontal="center" vertical="center"/>
    </xf>
    <xf numFmtId="187" fontId="2" fillId="33" borderId="76" xfId="58" applyNumberFormat="1" applyFont="1" applyFill="1" applyBorder="1" applyAlignment="1">
      <alignment horizontal="center" vertical="center"/>
    </xf>
    <xf numFmtId="0" fontId="23" fillId="0" borderId="76" xfId="0" applyFont="1" applyBorder="1" applyAlignment="1">
      <alignment horizontal="center" vertical="center" wrapText="1"/>
    </xf>
    <xf numFmtId="187" fontId="2" fillId="0" borderId="39" xfId="58" applyNumberFormat="1" applyFont="1" applyFill="1" applyBorder="1" applyAlignment="1">
      <alignment horizontal="center" vertical="center"/>
    </xf>
    <xf numFmtId="187" fontId="24" fillId="0" borderId="29" xfId="0" applyNumberFormat="1" applyFont="1" applyFill="1" applyBorder="1" applyAlignment="1">
      <alignment/>
    </xf>
    <xf numFmtId="187" fontId="2" fillId="0" borderId="29" xfId="58" applyNumberFormat="1" applyFont="1" applyFill="1" applyBorder="1" applyAlignment="1">
      <alignment horizontal="center" vertical="center"/>
    </xf>
    <xf numFmtId="187" fontId="2" fillId="0" borderId="16" xfId="58" applyNumberFormat="1" applyFont="1" applyFill="1" applyBorder="1" applyAlignment="1">
      <alignment horizontal="center" vertical="center"/>
    </xf>
    <xf numFmtId="187" fontId="6" fillId="0" borderId="75" xfId="58" applyNumberFormat="1" applyFont="1" applyFill="1" applyBorder="1" applyAlignment="1">
      <alignment horizontal="center" vertical="center" wrapText="1"/>
    </xf>
    <xf numFmtId="187" fontId="6" fillId="0" borderId="27" xfId="58" applyNumberFormat="1" applyFont="1" applyFill="1" applyBorder="1" applyAlignment="1">
      <alignment horizontal="center" vertical="center" wrapText="1"/>
    </xf>
    <xf numFmtId="187" fontId="6" fillId="0" borderId="27" xfId="58" applyNumberFormat="1" applyFont="1" applyFill="1" applyBorder="1" applyAlignment="1">
      <alignment horizontal="center" vertical="center"/>
    </xf>
    <xf numFmtId="187" fontId="2" fillId="0" borderId="27" xfId="58" applyNumberFormat="1" applyFont="1" applyFill="1" applyBorder="1" applyAlignment="1">
      <alignment horizontal="center" vertical="center"/>
    </xf>
    <xf numFmtId="187" fontId="2" fillId="0" borderId="87" xfId="58" applyNumberFormat="1" applyFont="1" applyFill="1" applyBorder="1" applyAlignment="1">
      <alignment horizontal="center" vertical="center"/>
    </xf>
    <xf numFmtId="187" fontId="2" fillId="0" borderId="84" xfId="58" applyNumberFormat="1" applyFont="1" applyFill="1" applyBorder="1" applyAlignment="1">
      <alignment horizontal="center" vertical="center"/>
    </xf>
    <xf numFmtId="187" fontId="1" fillId="0" borderId="17" xfId="58" applyNumberFormat="1" applyFont="1" applyFill="1" applyBorder="1" applyAlignment="1">
      <alignment horizontal="center" vertical="center"/>
    </xf>
    <xf numFmtId="187" fontId="1" fillId="0" borderId="75" xfId="58" applyNumberFormat="1" applyFont="1" applyFill="1" applyBorder="1" applyAlignment="1">
      <alignment horizontal="center" vertical="center" wrapText="1"/>
    </xf>
    <xf numFmtId="187" fontId="1" fillId="0" borderId="27" xfId="58" applyNumberFormat="1" applyFont="1" applyFill="1" applyBorder="1" applyAlignment="1">
      <alignment horizontal="center" vertical="center" wrapText="1"/>
    </xf>
    <xf numFmtId="187" fontId="1" fillId="0" borderId="27" xfId="58" applyNumberFormat="1" applyFont="1" applyFill="1" applyBorder="1" applyAlignment="1">
      <alignment horizontal="center" vertical="center"/>
    </xf>
    <xf numFmtId="187" fontId="1" fillId="0" borderId="84" xfId="58" applyNumberFormat="1" applyFont="1" applyFill="1" applyBorder="1" applyAlignment="1">
      <alignment horizontal="center" vertical="center" wrapText="1"/>
    </xf>
    <xf numFmtId="187" fontId="11" fillId="0" borderId="27" xfId="58" applyNumberFormat="1" applyFont="1" applyFill="1" applyBorder="1" applyAlignment="1">
      <alignment horizontal="center" vertical="center" wrapText="1"/>
    </xf>
    <xf numFmtId="187" fontId="0" fillId="0" borderId="27" xfId="58" applyNumberFormat="1" applyFont="1" applyFill="1" applyBorder="1" applyAlignment="1">
      <alignment horizontal="center" vertical="center"/>
    </xf>
    <xf numFmtId="187" fontId="0" fillId="0" borderId="84" xfId="58" applyNumberFormat="1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187" fontId="0" fillId="0" borderId="87" xfId="58" applyNumberFormat="1" applyFont="1" applyFill="1" applyBorder="1" applyAlignment="1">
      <alignment horizontal="center" vertical="center"/>
    </xf>
    <xf numFmtId="187" fontId="1" fillId="0" borderId="87" xfId="58" applyNumberFormat="1" applyFont="1" applyFill="1" applyBorder="1" applyAlignment="1">
      <alignment horizontal="center" vertical="center" wrapText="1"/>
    </xf>
    <xf numFmtId="187" fontId="59" fillId="0" borderId="87" xfId="58" applyNumberFormat="1" applyFont="1" applyFill="1" applyBorder="1" applyAlignment="1">
      <alignment horizontal="center" vertical="center"/>
    </xf>
    <xf numFmtId="187" fontId="1" fillId="38" borderId="56" xfId="58" applyNumberFormat="1" applyFont="1" applyFill="1" applyBorder="1" applyAlignment="1">
      <alignment horizontal="center" vertical="center" wrapText="1"/>
    </xf>
    <xf numFmtId="187" fontId="6" fillId="38" borderId="13" xfId="58" applyNumberFormat="1" applyFont="1" applyFill="1" applyBorder="1" applyAlignment="1">
      <alignment horizontal="center" vertical="center" wrapText="1"/>
    </xf>
    <xf numFmtId="187" fontId="6" fillId="38" borderId="11" xfId="58" applyNumberFormat="1" applyFont="1" applyFill="1" applyBorder="1" applyAlignment="1">
      <alignment horizontal="center" vertical="center" wrapText="1"/>
    </xf>
    <xf numFmtId="187" fontId="6" fillId="38" borderId="15" xfId="58" applyNumberFormat="1" applyFont="1" applyFill="1" applyBorder="1" applyAlignment="1">
      <alignment horizontal="center" vertical="center" wrapText="1"/>
    </xf>
    <xf numFmtId="187" fontId="6" fillId="38" borderId="32" xfId="58" applyNumberFormat="1" applyFont="1" applyFill="1" applyBorder="1" applyAlignment="1">
      <alignment horizontal="center" vertical="center" wrapText="1"/>
    </xf>
    <xf numFmtId="187" fontId="1" fillId="38" borderId="47" xfId="58" applyNumberFormat="1" applyFont="1" applyFill="1" applyBorder="1" applyAlignment="1">
      <alignment horizontal="center" vertical="center" wrapText="1"/>
    </xf>
    <xf numFmtId="187" fontId="24" fillId="0" borderId="0" xfId="0" applyNumberFormat="1" applyFont="1" applyFill="1" applyBorder="1" applyAlignment="1">
      <alignment/>
    </xf>
    <xf numFmtId="187" fontId="24" fillId="0" borderId="22" xfId="0" applyNumberFormat="1" applyFont="1" applyFill="1" applyBorder="1" applyAlignment="1">
      <alignment/>
    </xf>
    <xf numFmtId="187" fontId="24" fillId="0" borderId="45" xfId="0" applyNumberFormat="1" applyFont="1" applyFill="1" applyBorder="1" applyAlignment="1">
      <alignment/>
    </xf>
    <xf numFmtId="187" fontId="24" fillId="0" borderId="11" xfId="0" applyNumberFormat="1" applyFont="1" applyFill="1" applyBorder="1" applyAlignment="1">
      <alignment/>
    </xf>
    <xf numFmtId="187" fontId="21" fillId="0" borderId="0" xfId="0" applyNumberFormat="1" applyFont="1" applyFill="1" applyBorder="1" applyAlignment="1">
      <alignment/>
    </xf>
    <xf numFmtId="0" fontId="1" fillId="39" borderId="14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/>
    </xf>
    <xf numFmtId="187" fontId="6" fillId="39" borderId="34" xfId="58" applyNumberFormat="1" applyFont="1" applyFill="1" applyBorder="1" applyAlignment="1">
      <alignment horizontal="center" vertical="center" wrapText="1"/>
    </xf>
    <xf numFmtId="187" fontId="6" fillId="39" borderId="24" xfId="58" applyNumberFormat="1" applyFont="1" applyFill="1" applyBorder="1" applyAlignment="1">
      <alignment horizontal="center" vertical="center" wrapText="1"/>
    </xf>
    <xf numFmtId="187" fontId="6" fillId="39" borderId="24" xfId="58" applyNumberFormat="1" applyFont="1" applyFill="1" applyBorder="1" applyAlignment="1">
      <alignment horizontal="center" vertical="center"/>
    </xf>
    <xf numFmtId="187" fontId="2" fillId="39" borderId="24" xfId="58" applyNumberFormat="1" applyFont="1" applyFill="1" applyBorder="1" applyAlignment="1">
      <alignment horizontal="center" vertical="center"/>
    </xf>
    <xf numFmtId="187" fontId="2" fillId="39" borderId="29" xfId="58" applyNumberFormat="1" applyFont="1" applyFill="1" applyBorder="1" applyAlignment="1">
      <alignment horizontal="center" vertical="center"/>
    </xf>
    <xf numFmtId="187" fontId="2" fillId="39" borderId="40" xfId="58" applyNumberFormat="1" applyFont="1" applyFill="1" applyBorder="1" applyAlignment="1">
      <alignment horizontal="center" vertical="center"/>
    </xf>
    <xf numFmtId="187" fontId="6" fillId="39" borderId="41" xfId="58" applyNumberFormat="1" applyFont="1" applyFill="1" applyBorder="1" applyAlignment="1">
      <alignment horizontal="center" vertical="center" wrapText="1"/>
    </xf>
    <xf numFmtId="187" fontId="6" fillId="39" borderId="23" xfId="58" applyNumberFormat="1" applyFont="1" applyFill="1" applyBorder="1" applyAlignment="1">
      <alignment horizontal="center" vertical="center" wrapText="1"/>
    </xf>
    <xf numFmtId="187" fontId="6" fillId="39" borderId="23" xfId="58" applyNumberFormat="1" applyFont="1" applyFill="1" applyBorder="1" applyAlignment="1">
      <alignment horizontal="center" vertical="center"/>
    </xf>
    <xf numFmtId="187" fontId="2" fillId="39" borderId="23" xfId="58" applyNumberFormat="1" applyFont="1" applyFill="1" applyBorder="1" applyAlignment="1">
      <alignment horizontal="center" vertical="center"/>
    </xf>
    <xf numFmtId="187" fontId="2" fillId="39" borderId="28" xfId="58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87" fontId="21" fillId="0" borderId="23" xfId="58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187" fontId="3" fillId="33" borderId="14" xfId="58" applyNumberFormat="1" applyFont="1" applyFill="1" applyBorder="1" applyAlignment="1">
      <alignment horizontal="center" vertical="center"/>
    </xf>
    <xf numFmtId="187" fontId="0" fillId="0" borderId="32" xfId="58" applyNumberFormat="1" applyFont="1" applyBorder="1" applyAlignment="1">
      <alignment horizontal="center" vertical="center"/>
    </xf>
    <xf numFmtId="187" fontId="0" fillId="0" borderId="45" xfId="58" applyNumberFormat="1" applyFont="1" applyBorder="1" applyAlignment="1">
      <alignment horizontal="center" vertical="center"/>
    </xf>
    <xf numFmtId="187" fontId="1" fillId="0" borderId="22" xfId="58" applyNumberFormat="1" applyFont="1" applyFill="1" applyBorder="1" applyAlignment="1">
      <alignment horizontal="center" vertical="center"/>
    </xf>
    <xf numFmtId="187" fontId="0" fillId="0" borderId="45" xfId="58" applyNumberFormat="1" applyFont="1" applyFill="1" applyBorder="1" applyAlignment="1">
      <alignment horizontal="center" vertical="center"/>
    </xf>
    <xf numFmtId="187" fontId="9" fillId="0" borderId="16" xfId="58" applyNumberFormat="1" applyFont="1" applyBorder="1" applyAlignment="1">
      <alignment horizontal="center" vertical="center" wrapText="1"/>
    </xf>
    <xf numFmtId="187" fontId="10" fillId="0" borderId="16" xfId="58" applyNumberFormat="1" applyFont="1" applyBorder="1" applyAlignment="1">
      <alignment horizontal="center" vertical="center"/>
    </xf>
    <xf numFmtId="187" fontId="10" fillId="0" borderId="70" xfId="58" applyNumberFormat="1" applyFont="1" applyBorder="1" applyAlignment="1">
      <alignment horizontal="center" vertical="center"/>
    </xf>
    <xf numFmtId="187" fontId="0" fillId="0" borderId="70" xfId="58" applyNumberFormat="1" applyFont="1" applyBorder="1" applyAlignment="1">
      <alignment horizontal="center" vertical="center"/>
    </xf>
    <xf numFmtId="187" fontId="9" fillId="0" borderId="70" xfId="58" applyNumberFormat="1" applyFont="1" applyBorder="1" applyAlignment="1">
      <alignment horizontal="center" vertical="center" wrapText="1"/>
    </xf>
    <xf numFmtId="0" fontId="0" fillId="38" borderId="22" xfId="0" applyFill="1" applyBorder="1" applyAlignment="1">
      <alignment horizontal="center" vertical="center" textRotation="90"/>
    </xf>
    <xf numFmtId="0" fontId="0" fillId="38" borderId="32" xfId="0" applyFill="1" applyBorder="1" applyAlignment="1">
      <alignment horizontal="center" vertical="center" textRotation="90"/>
    </xf>
    <xf numFmtId="0" fontId="0" fillId="38" borderId="45" xfId="0" applyFill="1" applyBorder="1" applyAlignment="1">
      <alignment horizontal="center" vertical="center" textRotation="90"/>
    </xf>
    <xf numFmtId="187" fontId="6" fillId="38" borderId="22" xfId="58" applyNumberFormat="1" applyFont="1" applyFill="1" applyBorder="1" applyAlignment="1">
      <alignment horizontal="center" vertical="center"/>
    </xf>
    <xf numFmtId="187" fontId="6" fillId="38" borderId="32" xfId="58" applyNumberFormat="1" applyFont="1" applyFill="1" applyBorder="1" applyAlignment="1">
      <alignment horizontal="center" vertical="center"/>
    </xf>
    <xf numFmtId="187" fontId="6" fillId="38" borderId="45" xfId="58" applyNumberFormat="1" applyFont="1" applyFill="1" applyBorder="1" applyAlignment="1">
      <alignment horizontal="center" vertical="center"/>
    </xf>
    <xf numFmtId="187" fontId="6" fillId="38" borderId="22" xfId="58" applyNumberFormat="1" applyFont="1" applyFill="1" applyBorder="1" applyAlignment="1">
      <alignment horizontal="center" vertical="center" wrapText="1"/>
    </xf>
    <xf numFmtId="187" fontId="6" fillId="38" borderId="32" xfId="58" applyNumberFormat="1" applyFont="1" applyFill="1" applyBorder="1" applyAlignment="1">
      <alignment horizontal="center" vertical="center" wrapText="1"/>
    </xf>
    <xf numFmtId="187" fontId="6" fillId="38" borderId="45" xfId="58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7" fontId="1" fillId="0" borderId="27" xfId="58" applyNumberFormat="1" applyFont="1" applyFill="1" applyBorder="1" applyAlignment="1">
      <alignment horizontal="center" vertical="center"/>
    </xf>
    <xf numFmtId="187" fontId="0" fillId="0" borderId="27" xfId="58" applyNumberFormat="1" applyFont="1" applyFill="1" applyBorder="1" applyAlignment="1">
      <alignment horizontal="center" vertical="center"/>
    </xf>
    <xf numFmtId="49" fontId="0" fillId="6" borderId="22" xfId="0" applyNumberFormat="1" applyFill="1" applyBorder="1" applyAlignment="1">
      <alignment horizontal="center" vertical="center" textRotation="90"/>
    </xf>
    <xf numFmtId="49" fontId="0" fillId="6" borderId="32" xfId="0" applyNumberFormat="1" applyFill="1" applyBorder="1" applyAlignment="1">
      <alignment horizontal="center" vertical="center" textRotation="90"/>
    </xf>
    <xf numFmtId="49" fontId="0" fillId="6" borderId="45" xfId="0" applyNumberFormat="1" applyFill="1" applyBorder="1" applyAlignment="1">
      <alignment horizontal="center" vertical="center" textRotation="90"/>
    </xf>
    <xf numFmtId="187" fontId="6" fillId="6" borderId="32" xfId="58" applyNumberFormat="1" applyFont="1" applyFill="1" applyBorder="1" applyAlignment="1">
      <alignment horizontal="center" vertical="center"/>
    </xf>
    <xf numFmtId="187" fontId="6" fillId="6" borderId="45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41;&#1059;&#1080;&#1053;&#1069;\&#1055;&#1072;&#1082;&#1077;&#1090;%20&#1076;&#1086;&#1082;&#1091;&#1084;&#1077;&#1085;&#1090;&#1086;&#1074;%20&#1055;&#1054;%20&#1054;&#1058;&#1063;&#1045;&#1058;&#1059;%20&#1053;&#1040;%201%20&#1063;&#1048;&#1057;&#1051;&#1054;%20&#1050;&#1040;&#1046;&#1044;&#1054;&#1043;&#1054;%20&#1052;&#1045;&#1057;&#1071;&#1062;&#1040;\&#1057;&#1074;&#1086;&#1076;&#1085;&#1099;&#1081;%20&#1086;&#1090;&#1095;&#1105;&#1090;\2009\&#1040;&#1082;&#1090;%20&#1087;&#1077;&#1088;&#1074;&#1080;&#1095;&#1085;&#1086;&#1075;&#1086;%20&#1091;&#1095;&#1077;&#1090;&#1072;%20(&#1087;&#1077;&#1088;&#1077;&#1076;&#1072;&#1085;&#1085;&#1086;&#1081;)%20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 09"/>
      <sheetName val="Январь 09(новая форма)"/>
      <sheetName val="Февраль 09"/>
      <sheetName val="Март 09"/>
      <sheetName val="Апрель 09"/>
      <sheetName val="Апрель по старому"/>
      <sheetName val="Май 08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3">
        <row r="59">
          <cell r="Q59">
            <v>5079</v>
          </cell>
        </row>
        <row r="62">
          <cell r="Q62">
            <v>363</v>
          </cell>
        </row>
        <row r="63">
          <cell r="Q63">
            <v>2028</v>
          </cell>
        </row>
        <row r="64">
          <cell r="Q64">
            <v>2012</v>
          </cell>
        </row>
        <row r="65">
          <cell r="Q65">
            <v>171</v>
          </cell>
        </row>
        <row r="66">
          <cell r="Q66">
            <v>275</v>
          </cell>
        </row>
        <row r="67">
          <cell r="Q67">
            <v>181</v>
          </cell>
        </row>
        <row r="68">
          <cell r="Q68">
            <v>187</v>
          </cell>
        </row>
        <row r="69">
          <cell r="Q69">
            <v>1422</v>
          </cell>
        </row>
        <row r="70">
          <cell r="Q70">
            <v>1635</v>
          </cell>
        </row>
        <row r="74">
          <cell r="Q74">
            <v>3906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Y38">
      <selection activeCell="A1" sqref="A1:IV16384"/>
    </sheetView>
  </sheetViews>
  <sheetFormatPr defaultColWidth="9.00390625" defaultRowHeight="12.75"/>
  <cols>
    <col min="1" max="1" width="3.625" style="0" customWidth="1"/>
    <col min="2" max="3" width="22.75390625" style="0" customWidth="1"/>
    <col min="4" max="5" width="13.375" style="0" customWidth="1"/>
    <col min="6" max="6" width="11.375" style="0" customWidth="1"/>
    <col min="7" max="8" width="13.375" style="0" customWidth="1"/>
    <col min="9" max="9" width="11.75390625" style="0" customWidth="1"/>
    <col min="10" max="11" width="12.875" style="0" customWidth="1"/>
    <col min="12" max="12" width="12.625" style="0" customWidth="1"/>
    <col min="13" max="14" width="13.25390625" style="0" customWidth="1"/>
    <col min="15" max="17" width="13.125" style="0" customWidth="1"/>
    <col min="18" max="18" width="12.375" style="0" customWidth="1"/>
    <col min="19" max="19" width="12.625" style="200" bestFit="1" customWidth="1"/>
    <col min="20" max="20" width="12.625" style="200" customWidth="1"/>
    <col min="21" max="21" width="12.00390625" style="0" customWidth="1"/>
    <col min="22" max="23" width="12.75390625" style="0" customWidth="1"/>
    <col min="24" max="24" width="13.875" style="0" customWidth="1"/>
    <col min="25" max="26" width="12.875" style="0" customWidth="1"/>
    <col min="27" max="27" width="10.625" style="0" bestFit="1" customWidth="1"/>
    <col min="28" max="29" width="12.375" style="0" customWidth="1"/>
    <col min="30" max="30" width="11.375" style="0" customWidth="1"/>
    <col min="31" max="32" width="12.875" style="0" customWidth="1"/>
    <col min="33" max="33" width="13.625" style="0" customWidth="1"/>
    <col min="34" max="34" width="12.625" style="0" bestFit="1" customWidth="1"/>
    <col min="35" max="35" width="12.625" style="0" customWidth="1"/>
    <col min="36" max="36" width="13.875" style="0" customWidth="1"/>
    <col min="37" max="38" width="13.375" style="0" customWidth="1"/>
    <col min="39" max="39" width="12.00390625" style="0" customWidth="1"/>
    <col min="40" max="40" width="12.75390625" style="0" customWidth="1"/>
    <col min="41" max="41" width="14.25390625" style="0" customWidth="1"/>
    <col min="42" max="42" width="14.00390625" style="0" customWidth="1"/>
    <col min="43" max="43" width="15.00390625" style="0" customWidth="1"/>
    <col min="44" max="44" width="16.125" style="0" customWidth="1"/>
  </cols>
  <sheetData>
    <row r="1" spans="1:18" ht="39" customHeight="1" thickBot="1">
      <c r="A1" s="788" t="s">
        <v>80</v>
      </c>
      <c r="B1" s="788"/>
      <c r="C1" s="788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8"/>
      <c r="R1" s="788"/>
    </row>
    <row r="2" spans="1:42" ht="24.75" customHeight="1" thickBot="1">
      <c r="A2" s="790" t="s">
        <v>0</v>
      </c>
      <c r="B2" s="790" t="s">
        <v>1</v>
      </c>
      <c r="C2" s="790" t="s">
        <v>81</v>
      </c>
      <c r="D2" s="790" t="s">
        <v>82</v>
      </c>
      <c r="E2" s="793" t="s">
        <v>3</v>
      </c>
      <c r="F2" s="794"/>
      <c r="G2" s="795"/>
      <c r="H2" s="793" t="s">
        <v>6</v>
      </c>
      <c r="I2" s="794"/>
      <c r="J2" s="795"/>
      <c r="K2" s="793" t="s">
        <v>7</v>
      </c>
      <c r="L2" s="794"/>
      <c r="M2" s="795"/>
      <c r="N2" s="793" t="s">
        <v>8</v>
      </c>
      <c r="O2" s="794"/>
      <c r="P2" s="795"/>
      <c r="Q2" s="793" t="s">
        <v>9</v>
      </c>
      <c r="R2" s="794"/>
      <c r="S2" s="795"/>
      <c r="T2" s="804" t="s">
        <v>10</v>
      </c>
      <c r="U2" s="805"/>
      <c r="V2" s="806"/>
      <c r="W2" s="804" t="s">
        <v>11</v>
      </c>
      <c r="X2" s="805"/>
      <c r="Y2" s="806"/>
      <c r="Z2" s="804" t="s">
        <v>12</v>
      </c>
      <c r="AA2" s="805"/>
      <c r="AB2" s="806"/>
      <c r="AC2" s="804" t="s">
        <v>13</v>
      </c>
      <c r="AD2" s="805"/>
      <c r="AE2" s="806"/>
      <c r="AF2" s="804" t="s">
        <v>14</v>
      </c>
      <c r="AG2" s="805"/>
      <c r="AH2" s="806"/>
      <c r="AI2" s="804" t="s">
        <v>15</v>
      </c>
      <c r="AJ2" s="805"/>
      <c r="AK2" s="806"/>
      <c r="AL2" s="804" t="s">
        <v>16</v>
      </c>
      <c r="AM2" s="805"/>
      <c r="AN2" s="806"/>
      <c r="AO2" s="811" t="s">
        <v>83</v>
      </c>
      <c r="AP2" s="812"/>
    </row>
    <row r="3" spans="1:42" ht="32.25" customHeight="1" thickBot="1">
      <c r="A3" s="791"/>
      <c r="B3" s="791"/>
      <c r="C3" s="791"/>
      <c r="D3" s="792"/>
      <c r="E3" s="203" t="s">
        <v>84</v>
      </c>
      <c r="F3" s="204" t="s">
        <v>4</v>
      </c>
      <c r="G3" s="205" t="s">
        <v>85</v>
      </c>
      <c r="H3" s="203" t="s">
        <v>84</v>
      </c>
      <c r="I3" s="206" t="s">
        <v>4</v>
      </c>
      <c r="J3" s="207" t="s">
        <v>86</v>
      </c>
      <c r="K3" s="203" t="s">
        <v>84</v>
      </c>
      <c r="L3" s="206" t="s">
        <v>4</v>
      </c>
      <c r="M3" s="207" t="s">
        <v>86</v>
      </c>
      <c r="N3" s="203" t="s">
        <v>84</v>
      </c>
      <c r="O3" s="206" t="s">
        <v>4</v>
      </c>
      <c r="P3" s="207" t="s">
        <v>86</v>
      </c>
      <c r="Q3" s="203" t="s">
        <v>84</v>
      </c>
      <c r="R3" s="206" t="s">
        <v>4</v>
      </c>
      <c r="S3" s="208" t="s">
        <v>86</v>
      </c>
      <c r="T3" s="203" t="s">
        <v>84</v>
      </c>
      <c r="U3" s="206" t="s">
        <v>4</v>
      </c>
      <c r="V3" s="207" t="s">
        <v>86</v>
      </c>
      <c r="W3" s="203" t="s">
        <v>84</v>
      </c>
      <c r="X3" s="206" t="s">
        <v>4</v>
      </c>
      <c r="Y3" s="207" t="s">
        <v>86</v>
      </c>
      <c r="Z3" s="203" t="s">
        <v>84</v>
      </c>
      <c r="AA3" s="206" t="s">
        <v>4</v>
      </c>
      <c r="AB3" s="207" t="s">
        <v>86</v>
      </c>
      <c r="AC3" s="203" t="s">
        <v>84</v>
      </c>
      <c r="AD3" s="206" t="s">
        <v>4</v>
      </c>
      <c r="AE3" s="207" t="s">
        <v>86</v>
      </c>
      <c r="AF3" s="203" t="s">
        <v>84</v>
      </c>
      <c r="AG3" s="206" t="s">
        <v>4</v>
      </c>
      <c r="AH3" s="207" t="s">
        <v>86</v>
      </c>
      <c r="AI3" s="201"/>
      <c r="AJ3" s="206" t="s">
        <v>4</v>
      </c>
      <c r="AK3" s="207" t="s">
        <v>86</v>
      </c>
      <c r="AL3" s="201"/>
      <c r="AM3" s="206" t="s">
        <v>4</v>
      </c>
      <c r="AN3" s="207" t="s">
        <v>86</v>
      </c>
      <c r="AO3" s="206" t="s">
        <v>4</v>
      </c>
      <c r="AP3" s="207" t="s">
        <v>86</v>
      </c>
    </row>
    <row r="4" spans="1:42" ht="27.75" customHeight="1" thickBot="1">
      <c r="A4" s="209"/>
      <c r="B4" s="796" t="s">
        <v>87</v>
      </c>
      <c r="C4" s="797"/>
      <c r="D4" s="798"/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S4" s="798"/>
      <c r="T4" s="798"/>
      <c r="U4" s="798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  <c r="AH4" s="798"/>
      <c r="AI4" s="798"/>
      <c r="AJ4" s="798"/>
      <c r="AK4" s="798"/>
      <c r="AL4" s="798"/>
      <c r="AM4" s="798"/>
      <c r="AN4" s="798"/>
      <c r="AO4" s="798"/>
      <c r="AP4" s="799"/>
    </row>
    <row r="5" spans="1:51" ht="24.75" customHeight="1" thickBot="1">
      <c r="A5" s="210">
        <v>1</v>
      </c>
      <c r="B5" s="210" t="s">
        <v>88</v>
      </c>
      <c r="C5" s="210" t="s">
        <v>89</v>
      </c>
      <c r="D5" s="211" t="s">
        <v>90</v>
      </c>
      <c r="E5" s="212"/>
      <c r="F5" s="213">
        <v>61</v>
      </c>
      <c r="G5" s="214">
        <v>80.04</v>
      </c>
      <c r="H5" s="215"/>
      <c r="I5" s="216">
        <v>66</v>
      </c>
      <c r="J5" s="217">
        <v>86.6</v>
      </c>
      <c r="K5" s="215"/>
      <c r="L5" s="218">
        <v>55</v>
      </c>
      <c r="M5" s="219">
        <v>72.17</v>
      </c>
      <c r="N5" s="220"/>
      <c r="O5" s="221">
        <v>71</v>
      </c>
      <c r="P5" s="217">
        <v>93.16</v>
      </c>
      <c r="Q5" s="215"/>
      <c r="R5" s="222">
        <v>60</v>
      </c>
      <c r="S5" s="223">
        <v>78.73</v>
      </c>
      <c r="T5" s="215"/>
      <c r="U5" s="221"/>
      <c r="V5" s="217"/>
      <c r="W5" s="215"/>
      <c r="X5" s="222"/>
      <c r="Y5" s="223"/>
      <c r="Z5" s="215"/>
      <c r="AA5" s="221"/>
      <c r="AB5" s="217"/>
      <c r="AC5" s="215"/>
      <c r="AD5" s="222"/>
      <c r="AE5" s="219"/>
      <c r="AF5" s="220"/>
      <c r="AG5" s="221"/>
      <c r="AH5" s="224"/>
      <c r="AI5" s="220"/>
      <c r="AJ5" s="222"/>
      <c r="AK5" s="219"/>
      <c r="AL5" s="220"/>
      <c r="AM5" s="221"/>
      <c r="AN5" s="224"/>
      <c r="AO5" s="221">
        <f>AM5+AJ5+AG5+AD5+AA5+X5+U5+R5+O5+L5+I5+F5</f>
        <v>313</v>
      </c>
      <c r="AP5" s="224">
        <f>AN5+AK5+AH5+AE5+AB5+Y5+V5+S5+P5+M5+J5+G5</f>
        <v>410.7</v>
      </c>
      <c r="AR5" s="225">
        <f>AO5+AO6+AO7+AO8+AO9+AO10+AO11+AO13+AO14+AO16+AO17+AO18+AO19+AO21+AO22+AO23+AO24</f>
        <v>677712</v>
      </c>
      <c r="AS5" s="226"/>
      <c r="AT5" s="226"/>
      <c r="AU5" s="226"/>
      <c r="AV5" s="226"/>
      <c r="AW5" s="226"/>
      <c r="AX5" s="226"/>
      <c r="AY5" s="226"/>
    </row>
    <row r="6" spans="1:51" ht="22.5" customHeight="1" thickBot="1">
      <c r="A6" s="227">
        <v>2</v>
      </c>
      <c r="B6" s="227" t="s">
        <v>91</v>
      </c>
      <c r="C6" s="210" t="s">
        <v>89</v>
      </c>
      <c r="D6" s="228" t="s">
        <v>92</v>
      </c>
      <c r="E6" s="228"/>
      <c r="F6" s="229">
        <v>1519</v>
      </c>
      <c r="G6" s="230">
        <v>2036.47</v>
      </c>
      <c r="H6" s="231"/>
      <c r="I6" s="232">
        <v>1047</v>
      </c>
      <c r="J6" s="233">
        <v>1404.01</v>
      </c>
      <c r="K6" s="231"/>
      <c r="L6" s="234">
        <v>1566</v>
      </c>
      <c r="M6" s="235">
        <v>2099.46</v>
      </c>
      <c r="N6" s="236"/>
      <c r="O6" s="237">
        <v>1225</v>
      </c>
      <c r="P6" s="233">
        <v>1642.82</v>
      </c>
      <c r="Q6" s="231"/>
      <c r="R6" s="238">
        <v>734</v>
      </c>
      <c r="S6" s="230">
        <v>984.12</v>
      </c>
      <c r="T6" s="231"/>
      <c r="U6" s="237">
        <v>750</v>
      </c>
      <c r="V6" s="233">
        <v>1006.42</v>
      </c>
      <c r="W6" s="231"/>
      <c r="X6" s="238">
        <v>1070</v>
      </c>
      <c r="Y6" s="230">
        <v>1435.51</v>
      </c>
      <c r="Z6" s="231"/>
      <c r="AA6" s="237">
        <v>818</v>
      </c>
      <c r="AB6" s="233">
        <v>1096.96</v>
      </c>
      <c r="AC6" s="231"/>
      <c r="AD6" s="238">
        <v>920</v>
      </c>
      <c r="AE6" s="235">
        <v>1233.43</v>
      </c>
      <c r="AF6" s="236"/>
      <c r="AG6" s="237">
        <v>884</v>
      </c>
      <c r="AH6" s="239">
        <v>1184.89</v>
      </c>
      <c r="AI6" s="236"/>
      <c r="AJ6" s="238">
        <v>1112</v>
      </c>
      <c r="AK6" s="235">
        <v>1490.61</v>
      </c>
      <c r="AL6" s="236"/>
      <c r="AM6" s="237">
        <v>1153</v>
      </c>
      <c r="AN6" s="239">
        <v>1545.73</v>
      </c>
      <c r="AO6" s="237">
        <f aca="true" t="shared" si="0" ref="AO6:AP24">AM6+AJ6+AG6+AD6+AA6+X6+U6+R6+O6+L6+I6+F6</f>
        <v>12798</v>
      </c>
      <c r="AP6" s="239">
        <f t="shared" si="0"/>
        <v>17160.43</v>
      </c>
      <c r="AR6" s="225">
        <f>AO15</f>
        <v>12516</v>
      </c>
      <c r="AS6" s="226"/>
      <c r="AT6" s="226"/>
      <c r="AU6" s="226"/>
      <c r="AV6" s="226"/>
      <c r="AW6" s="226"/>
      <c r="AX6" s="226"/>
      <c r="AY6" s="226"/>
    </row>
    <row r="7" spans="1:51" ht="21.75" customHeight="1" thickBot="1">
      <c r="A7" s="227">
        <v>3</v>
      </c>
      <c r="B7" s="227" t="s">
        <v>93</v>
      </c>
      <c r="C7" s="210" t="s">
        <v>89</v>
      </c>
      <c r="D7" s="240" t="s">
        <v>94</v>
      </c>
      <c r="E7" s="228"/>
      <c r="F7" s="229">
        <v>500</v>
      </c>
      <c r="G7" s="230">
        <v>708.57</v>
      </c>
      <c r="H7" s="231"/>
      <c r="I7" s="232">
        <v>450</v>
      </c>
      <c r="J7" s="233">
        <v>637.71</v>
      </c>
      <c r="K7" s="231"/>
      <c r="L7" s="234">
        <v>307</v>
      </c>
      <c r="M7" s="235">
        <v>434.32</v>
      </c>
      <c r="N7" s="236"/>
      <c r="O7" s="237">
        <v>369</v>
      </c>
      <c r="P7" s="233">
        <v>522.24</v>
      </c>
      <c r="Q7" s="231"/>
      <c r="R7" s="238">
        <v>302</v>
      </c>
      <c r="S7" s="230">
        <v>427.76</v>
      </c>
      <c r="T7" s="231"/>
      <c r="U7" s="237">
        <v>315</v>
      </c>
      <c r="V7" s="233">
        <v>446.13</v>
      </c>
      <c r="W7" s="231"/>
      <c r="X7" s="238">
        <v>327</v>
      </c>
      <c r="Y7" s="230">
        <v>463.2</v>
      </c>
      <c r="Z7" s="231"/>
      <c r="AA7" s="237">
        <v>341</v>
      </c>
      <c r="AB7" s="233">
        <v>482.88</v>
      </c>
      <c r="AC7" s="231"/>
      <c r="AD7" s="238">
        <v>355</v>
      </c>
      <c r="AE7" s="235">
        <v>502.56</v>
      </c>
      <c r="AF7" s="236"/>
      <c r="AG7" s="237">
        <v>315</v>
      </c>
      <c r="AH7" s="239">
        <v>446.13</v>
      </c>
      <c r="AI7" s="236"/>
      <c r="AJ7" s="238">
        <v>404</v>
      </c>
      <c r="AK7" s="235">
        <v>572.1</v>
      </c>
      <c r="AL7" s="236"/>
      <c r="AM7" s="237">
        <v>488</v>
      </c>
      <c r="AN7" s="239">
        <v>691.5</v>
      </c>
      <c r="AO7" s="237">
        <f>AM7+AJ7+AG7+AD7+AA7+X7+U7+R7+O7+L7+I7+F7</f>
        <v>4473</v>
      </c>
      <c r="AP7" s="239">
        <f t="shared" si="0"/>
        <v>6335.099999999999</v>
      </c>
      <c r="AR7" s="225">
        <f>AO12+AO20</f>
        <v>15096228</v>
      </c>
      <c r="AS7" s="226"/>
      <c r="AT7" s="226"/>
      <c r="AU7" s="226"/>
      <c r="AV7" s="226"/>
      <c r="AW7" s="226"/>
      <c r="AX7" s="226"/>
      <c r="AY7" s="226"/>
    </row>
    <row r="8" spans="1:51" ht="24" customHeight="1" thickBot="1">
      <c r="A8" s="227">
        <v>4</v>
      </c>
      <c r="B8" s="227" t="s">
        <v>17</v>
      </c>
      <c r="C8" s="210" t="s">
        <v>89</v>
      </c>
      <c r="D8" s="228" t="s">
        <v>95</v>
      </c>
      <c r="E8" s="228"/>
      <c r="F8" s="229">
        <v>514</v>
      </c>
      <c r="G8" s="230">
        <v>674.45</v>
      </c>
      <c r="H8" s="231"/>
      <c r="I8" s="232">
        <v>613</v>
      </c>
      <c r="J8" s="233">
        <v>804.36</v>
      </c>
      <c r="K8" s="231"/>
      <c r="L8" s="234">
        <v>394</v>
      </c>
      <c r="M8" s="235">
        <v>516.99</v>
      </c>
      <c r="N8" s="236"/>
      <c r="O8" s="237">
        <v>416</v>
      </c>
      <c r="P8" s="233">
        <v>545.86</v>
      </c>
      <c r="Q8" s="231"/>
      <c r="R8" s="238">
        <v>160</v>
      </c>
      <c r="S8" s="230">
        <v>209.95</v>
      </c>
      <c r="T8" s="231"/>
      <c r="U8" s="237">
        <v>117</v>
      </c>
      <c r="V8" s="233">
        <v>153.52</v>
      </c>
      <c r="W8" s="231"/>
      <c r="X8" s="238">
        <v>43</v>
      </c>
      <c r="Y8" s="230">
        <v>56.43</v>
      </c>
      <c r="Z8" s="231"/>
      <c r="AA8" s="237">
        <v>57</v>
      </c>
      <c r="AB8" s="233">
        <v>74.79</v>
      </c>
      <c r="AC8" s="231"/>
      <c r="AD8" s="238">
        <v>91</v>
      </c>
      <c r="AE8" s="235">
        <v>119.4</v>
      </c>
      <c r="AF8" s="236"/>
      <c r="AG8" s="237">
        <v>253</v>
      </c>
      <c r="AH8" s="239">
        <v>331</v>
      </c>
      <c r="AI8" s="236"/>
      <c r="AJ8" s="238">
        <v>417</v>
      </c>
      <c r="AK8" s="235">
        <v>547.17</v>
      </c>
      <c r="AL8" s="236"/>
      <c r="AM8" s="237">
        <v>707</v>
      </c>
      <c r="AN8" s="239">
        <v>927.69</v>
      </c>
      <c r="AO8" s="237">
        <f t="shared" si="0"/>
        <v>3782</v>
      </c>
      <c r="AP8" s="239">
        <f t="shared" si="0"/>
        <v>4961.61</v>
      </c>
      <c r="AR8" s="226"/>
      <c r="AS8" s="226"/>
      <c r="AT8" s="226"/>
      <c r="AU8" s="226"/>
      <c r="AV8" s="226"/>
      <c r="AW8" s="226"/>
      <c r="AX8" s="226"/>
      <c r="AY8" s="226"/>
    </row>
    <row r="9" spans="1:51" ht="23.25" customHeight="1" thickBot="1">
      <c r="A9" s="227">
        <v>5</v>
      </c>
      <c r="B9" s="227" t="s">
        <v>96</v>
      </c>
      <c r="C9" s="210" t="s">
        <v>89</v>
      </c>
      <c r="D9" s="228" t="s">
        <v>97</v>
      </c>
      <c r="E9" s="228"/>
      <c r="F9" s="229">
        <v>4750</v>
      </c>
      <c r="G9" s="230">
        <v>6249.82</v>
      </c>
      <c r="H9" s="231"/>
      <c r="I9" s="232">
        <v>4550</v>
      </c>
      <c r="J9" s="233">
        <v>5986.07</v>
      </c>
      <c r="K9" s="231"/>
      <c r="L9" s="234">
        <v>4300</v>
      </c>
      <c r="M9" s="235">
        <v>5658.03</v>
      </c>
      <c r="N9" s="236"/>
      <c r="O9" s="237">
        <v>4600</v>
      </c>
      <c r="P9" s="233">
        <v>6051.68</v>
      </c>
      <c r="Q9" s="231"/>
      <c r="R9" s="238">
        <v>3700</v>
      </c>
      <c r="S9" s="230">
        <v>4868.11</v>
      </c>
      <c r="T9" s="231"/>
      <c r="U9" s="237">
        <v>4500</v>
      </c>
      <c r="V9" s="233">
        <v>5920.46</v>
      </c>
      <c r="W9" s="231"/>
      <c r="X9" s="238">
        <v>4850</v>
      </c>
      <c r="Y9" s="230">
        <v>6381.04</v>
      </c>
      <c r="Z9" s="231"/>
      <c r="AA9" s="237">
        <v>4200</v>
      </c>
      <c r="AB9" s="233">
        <v>5525.5</v>
      </c>
      <c r="AC9" s="231"/>
      <c r="AD9" s="238">
        <v>5550</v>
      </c>
      <c r="AE9" s="235">
        <v>7302.17</v>
      </c>
      <c r="AF9" s="236"/>
      <c r="AG9" s="237">
        <v>4300</v>
      </c>
      <c r="AH9" s="239">
        <v>5658.03</v>
      </c>
      <c r="AI9" s="236"/>
      <c r="AJ9" s="238">
        <v>5400</v>
      </c>
      <c r="AK9" s="235">
        <v>7105.35</v>
      </c>
      <c r="AL9" s="236"/>
      <c r="AM9" s="237">
        <v>4350</v>
      </c>
      <c r="AN9" s="239">
        <v>5723.64</v>
      </c>
      <c r="AO9" s="237">
        <f t="shared" si="0"/>
        <v>55050</v>
      </c>
      <c r="AP9" s="239">
        <f t="shared" si="0"/>
        <v>72429.9</v>
      </c>
      <c r="AR9" s="226"/>
      <c r="AS9" s="226"/>
      <c r="AT9" s="226"/>
      <c r="AU9" s="226"/>
      <c r="AV9" s="226"/>
      <c r="AW9" s="226"/>
      <c r="AX9" s="226"/>
      <c r="AY9" s="226"/>
    </row>
    <row r="10" spans="1:51" ht="24.75" thickBot="1">
      <c r="A10" s="227">
        <v>6</v>
      </c>
      <c r="B10" s="227" t="s">
        <v>98</v>
      </c>
      <c r="C10" s="210" t="s">
        <v>89</v>
      </c>
      <c r="D10" s="228" t="s">
        <v>99</v>
      </c>
      <c r="E10" s="228"/>
      <c r="F10" s="229">
        <v>4212</v>
      </c>
      <c r="G10" s="230">
        <v>5731.51</v>
      </c>
      <c r="H10" s="231"/>
      <c r="I10" s="232">
        <v>4794</v>
      </c>
      <c r="J10" s="233">
        <v>6522.75</v>
      </c>
      <c r="K10" s="231"/>
      <c r="L10" s="238">
        <v>3024</v>
      </c>
      <c r="M10" s="235">
        <v>4114.93</v>
      </c>
      <c r="N10" s="236"/>
      <c r="O10" s="237">
        <v>2632</v>
      </c>
      <c r="P10" s="233">
        <v>3580.88</v>
      </c>
      <c r="Q10" s="231"/>
      <c r="R10" s="238">
        <v>1976</v>
      </c>
      <c r="S10" s="230">
        <v>2688.62</v>
      </c>
      <c r="T10" s="231"/>
      <c r="U10" s="237">
        <v>2562</v>
      </c>
      <c r="V10" s="233">
        <v>3486.41</v>
      </c>
      <c r="W10" s="231"/>
      <c r="X10" s="238">
        <v>2612</v>
      </c>
      <c r="Y10" s="230">
        <v>3554.64</v>
      </c>
      <c r="Z10" s="231"/>
      <c r="AA10" s="237">
        <v>2722</v>
      </c>
      <c r="AB10" s="233">
        <v>3704.23</v>
      </c>
      <c r="AC10" s="231"/>
      <c r="AD10" s="238">
        <v>2364</v>
      </c>
      <c r="AE10" s="235">
        <v>3216.1</v>
      </c>
      <c r="AF10" s="236"/>
      <c r="AG10" s="237">
        <v>2535</v>
      </c>
      <c r="AH10" s="239">
        <v>3449.67</v>
      </c>
      <c r="AI10" s="236"/>
      <c r="AJ10" s="238">
        <v>3117</v>
      </c>
      <c r="AK10" s="235">
        <v>4240.9</v>
      </c>
      <c r="AL10" s="236"/>
      <c r="AM10" s="237">
        <v>4465</v>
      </c>
      <c r="AN10" s="239">
        <v>6075.3</v>
      </c>
      <c r="AO10" s="237">
        <f t="shared" si="0"/>
        <v>37015</v>
      </c>
      <c r="AP10" s="239">
        <f t="shared" si="0"/>
        <v>50365.94</v>
      </c>
      <c r="AR10" s="226"/>
      <c r="AS10" s="226"/>
      <c r="AT10" s="226"/>
      <c r="AU10" s="226"/>
      <c r="AV10" s="226"/>
      <c r="AW10" s="226"/>
      <c r="AX10" s="226"/>
      <c r="AY10" s="226"/>
    </row>
    <row r="11" spans="1:51" ht="24" customHeight="1" thickBot="1">
      <c r="A11" s="241">
        <v>7</v>
      </c>
      <c r="B11" s="227" t="s">
        <v>100</v>
      </c>
      <c r="C11" s="210" t="s">
        <v>89</v>
      </c>
      <c r="D11" s="240" t="s">
        <v>101</v>
      </c>
      <c r="E11" s="228"/>
      <c r="F11" s="229">
        <v>2265</v>
      </c>
      <c r="G11" s="230">
        <v>3040.27</v>
      </c>
      <c r="H11" s="231"/>
      <c r="I11" s="242">
        <v>2493</v>
      </c>
      <c r="J11" s="233">
        <v>3346.01</v>
      </c>
      <c r="K11" s="231"/>
      <c r="L11" s="243">
        <v>1811</v>
      </c>
      <c r="M11" s="235">
        <v>2431.44</v>
      </c>
      <c r="N11" s="236"/>
      <c r="O11" s="237">
        <v>1155</v>
      </c>
      <c r="P11" s="233">
        <v>1550.97</v>
      </c>
      <c r="Q11" s="231"/>
      <c r="R11" s="238">
        <v>446</v>
      </c>
      <c r="S11" s="230">
        <v>598.34</v>
      </c>
      <c r="T11" s="231"/>
      <c r="U11" s="237">
        <v>631</v>
      </c>
      <c r="V11" s="233">
        <v>847.65</v>
      </c>
      <c r="W11" s="231"/>
      <c r="X11" s="238">
        <v>663</v>
      </c>
      <c r="Y11" s="230">
        <v>889.65</v>
      </c>
      <c r="Z11" s="231"/>
      <c r="AA11" s="237">
        <v>722</v>
      </c>
      <c r="AB11" s="233">
        <v>969.69</v>
      </c>
      <c r="AC11" s="231"/>
      <c r="AD11" s="238">
        <v>715</v>
      </c>
      <c r="AE11" s="235">
        <v>959.19</v>
      </c>
      <c r="AF11" s="236"/>
      <c r="AG11" s="237">
        <v>556</v>
      </c>
      <c r="AH11" s="239">
        <v>746.62</v>
      </c>
      <c r="AI11" s="236"/>
      <c r="AJ11" s="238">
        <v>1080</v>
      </c>
      <c r="AK11" s="235">
        <v>1449.94</v>
      </c>
      <c r="AL11" s="236"/>
      <c r="AM11" s="237">
        <v>2229</v>
      </c>
      <c r="AN11" s="239">
        <v>2991.72</v>
      </c>
      <c r="AO11" s="237">
        <f t="shared" si="0"/>
        <v>14766</v>
      </c>
      <c r="AP11" s="239">
        <f t="shared" si="0"/>
        <v>19821.49</v>
      </c>
      <c r="AS11" s="226"/>
      <c r="AT11" s="226"/>
      <c r="AU11" s="226"/>
      <c r="AV11" s="226"/>
      <c r="AW11" s="226"/>
      <c r="AX11" s="226"/>
      <c r="AY11" s="226"/>
    </row>
    <row r="12" spans="1:51" ht="20.25" customHeight="1" thickBot="1">
      <c r="A12" s="241">
        <v>8</v>
      </c>
      <c r="B12" s="227" t="s">
        <v>102</v>
      </c>
      <c r="C12" s="210" t="s">
        <v>103</v>
      </c>
      <c r="D12" s="240" t="s">
        <v>104</v>
      </c>
      <c r="E12" s="228">
        <v>1156</v>
      </c>
      <c r="F12" s="244">
        <v>563654</v>
      </c>
      <c r="G12" s="230">
        <v>638382.89</v>
      </c>
      <c r="H12" s="228">
        <v>900</v>
      </c>
      <c r="I12" s="237">
        <v>547106</v>
      </c>
      <c r="J12" s="233">
        <v>561056.1</v>
      </c>
      <c r="K12" s="228">
        <v>900</v>
      </c>
      <c r="L12" s="238">
        <v>545635</v>
      </c>
      <c r="M12" s="230">
        <v>561890.34</v>
      </c>
      <c r="N12" s="231">
        <v>965</v>
      </c>
      <c r="O12" s="237">
        <v>443165</v>
      </c>
      <c r="P12" s="233">
        <v>514760.6</v>
      </c>
      <c r="Q12" s="231">
        <v>750</v>
      </c>
      <c r="R12" s="238">
        <v>345758</v>
      </c>
      <c r="S12" s="230">
        <v>398176.68</v>
      </c>
      <c r="T12" s="231">
        <v>850</v>
      </c>
      <c r="U12" s="237">
        <v>322849</v>
      </c>
      <c r="V12" s="233">
        <v>408108.91</v>
      </c>
      <c r="W12" s="231">
        <v>850</v>
      </c>
      <c r="X12" s="238">
        <v>293580</v>
      </c>
      <c r="Y12" s="230">
        <v>390401.22</v>
      </c>
      <c r="Z12" s="231">
        <v>850</v>
      </c>
      <c r="AA12" s="237">
        <v>277624</v>
      </c>
      <c r="AB12" s="233">
        <v>380086.97</v>
      </c>
      <c r="AC12" s="231">
        <v>900</v>
      </c>
      <c r="AD12" s="238">
        <v>305354</v>
      </c>
      <c r="AE12" s="235">
        <v>410447.29</v>
      </c>
      <c r="AF12" s="236">
        <v>900</v>
      </c>
      <c r="AG12" s="237">
        <v>332267</v>
      </c>
      <c r="AH12" s="239">
        <v>426538.58</v>
      </c>
      <c r="AI12" s="236">
        <v>710</v>
      </c>
      <c r="AJ12" s="238">
        <v>337552</v>
      </c>
      <c r="AK12" s="230">
        <v>382922.2</v>
      </c>
      <c r="AL12" s="245">
        <v>900</v>
      </c>
      <c r="AM12" s="237">
        <v>370064</v>
      </c>
      <c r="AN12" s="246">
        <v>449566.55</v>
      </c>
      <c r="AO12" s="237">
        <f t="shared" si="0"/>
        <v>4684608</v>
      </c>
      <c r="AP12" s="239">
        <f t="shared" si="0"/>
        <v>5522338.33</v>
      </c>
      <c r="AS12" s="226"/>
      <c r="AT12" s="226"/>
      <c r="AU12" s="226"/>
      <c r="AV12" s="226"/>
      <c r="AW12" s="226"/>
      <c r="AX12" s="226"/>
      <c r="AY12" s="226"/>
    </row>
    <row r="13" spans="1:51" ht="23.25" customHeight="1" thickBot="1">
      <c r="A13" s="241">
        <v>9</v>
      </c>
      <c r="B13" s="227" t="s">
        <v>105</v>
      </c>
      <c r="C13" s="210" t="s">
        <v>89</v>
      </c>
      <c r="D13" s="228" t="s">
        <v>106</v>
      </c>
      <c r="E13" s="228"/>
      <c r="F13" s="229">
        <v>10080</v>
      </c>
      <c r="G13" s="230">
        <v>13226.57</v>
      </c>
      <c r="H13" s="228"/>
      <c r="I13" s="237">
        <v>16160</v>
      </c>
      <c r="J13" s="233">
        <v>21204.51</v>
      </c>
      <c r="K13" s="228"/>
      <c r="L13" s="238">
        <v>28640</v>
      </c>
      <c r="M13" s="235">
        <v>37580.26</v>
      </c>
      <c r="N13" s="236"/>
      <c r="O13" s="237">
        <v>35521</v>
      </c>
      <c r="P13" s="233">
        <v>46609.23</v>
      </c>
      <c r="Q13" s="231"/>
      <c r="R13" s="238">
        <v>25765</v>
      </c>
      <c r="S13" s="230">
        <v>33807.8</v>
      </c>
      <c r="T13" s="231"/>
      <c r="U13" s="237">
        <v>31158</v>
      </c>
      <c r="V13" s="233">
        <v>40884.29</v>
      </c>
      <c r="W13" s="231"/>
      <c r="X13" s="238">
        <v>21720</v>
      </c>
      <c r="Y13" s="230">
        <v>28500.12</v>
      </c>
      <c r="Z13" s="231"/>
      <c r="AA13" s="237">
        <v>25163</v>
      </c>
      <c r="AB13" s="233">
        <v>33017.89</v>
      </c>
      <c r="AC13" s="231"/>
      <c r="AD13" s="238">
        <v>29925</v>
      </c>
      <c r="AE13" s="235">
        <v>39266.39</v>
      </c>
      <c r="AF13" s="236"/>
      <c r="AG13" s="237">
        <v>45123</v>
      </c>
      <c r="AH13" s="239">
        <v>59208.6</v>
      </c>
      <c r="AI13" s="236"/>
      <c r="AJ13" s="238">
        <v>32275</v>
      </c>
      <c r="AK13" s="235">
        <v>42349.96</v>
      </c>
      <c r="AL13" s="236"/>
      <c r="AM13" s="237">
        <v>20564</v>
      </c>
      <c r="AN13" s="239">
        <v>26973.26</v>
      </c>
      <c r="AO13" s="237">
        <f t="shared" si="0"/>
        <v>322094</v>
      </c>
      <c r="AP13" s="239">
        <f t="shared" si="0"/>
        <v>422628.88</v>
      </c>
      <c r="AS13" s="226"/>
      <c r="AT13" s="226"/>
      <c r="AU13" s="226"/>
      <c r="AV13" s="226"/>
      <c r="AW13" s="226"/>
      <c r="AX13" s="226"/>
      <c r="AY13" s="226"/>
    </row>
    <row r="14" spans="1:51" ht="23.25" customHeight="1" thickBot="1">
      <c r="A14" s="241">
        <v>10</v>
      </c>
      <c r="B14" s="227" t="s">
        <v>18</v>
      </c>
      <c r="C14" s="210" t="s">
        <v>89</v>
      </c>
      <c r="D14" s="240" t="s">
        <v>107</v>
      </c>
      <c r="E14" s="240"/>
      <c r="F14" s="229">
        <v>1987</v>
      </c>
      <c r="G14" s="230">
        <v>2731.91</v>
      </c>
      <c r="H14" s="228"/>
      <c r="I14" s="242">
        <v>1432</v>
      </c>
      <c r="J14" s="233">
        <v>1968.24</v>
      </c>
      <c r="K14" s="228"/>
      <c r="L14" s="238">
        <v>1485</v>
      </c>
      <c r="M14" s="235">
        <v>2041.72</v>
      </c>
      <c r="N14" s="236"/>
      <c r="O14" s="237">
        <v>1056</v>
      </c>
      <c r="P14" s="233">
        <v>1451.25</v>
      </c>
      <c r="Q14" s="231"/>
      <c r="R14" s="238">
        <v>3074</v>
      </c>
      <c r="S14" s="230">
        <v>501.24</v>
      </c>
      <c r="T14" s="231"/>
      <c r="U14" s="237">
        <v>191</v>
      </c>
      <c r="V14" s="233">
        <v>262.43</v>
      </c>
      <c r="W14" s="231"/>
      <c r="X14" s="238">
        <v>186</v>
      </c>
      <c r="Y14" s="230">
        <v>255.87</v>
      </c>
      <c r="Z14" s="231"/>
      <c r="AA14" s="237">
        <v>121</v>
      </c>
      <c r="AB14" s="233">
        <v>166.64</v>
      </c>
      <c r="AC14" s="231"/>
      <c r="AD14" s="238">
        <v>189</v>
      </c>
      <c r="AE14" s="235">
        <v>259.81</v>
      </c>
      <c r="AF14" s="236"/>
      <c r="AG14" s="237">
        <v>589</v>
      </c>
      <c r="AH14" s="239">
        <v>809.6</v>
      </c>
      <c r="AI14" s="236"/>
      <c r="AJ14" s="238">
        <v>1161</v>
      </c>
      <c r="AK14" s="235">
        <v>1595.58</v>
      </c>
      <c r="AL14" s="236"/>
      <c r="AM14" s="237">
        <v>1389</v>
      </c>
      <c r="AN14" s="239">
        <v>1909.19</v>
      </c>
      <c r="AO14" s="237">
        <f t="shared" si="0"/>
        <v>12860</v>
      </c>
      <c r="AP14" s="239">
        <f t="shared" si="0"/>
        <v>13953.48</v>
      </c>
      <c r="AR14" s="226"/>
      <c r="AS14" s="226"/>
      <c r="AT14" s="226"/>
      <c r="AU14" s="226"/>
      <c r="AV14" s="226"/>
      <c r="AW14" s="226"/>
      <c r="AX14" s="226"/>
      <c r="AY14" s="226"/>
    </row>
    <row r="15" spans="1:51" ht="24.75" customHeight="1" thickBot="1">
      <c r="A15" s="241">
        <v>11</v>
      </c>
      <c r="B15" s="247" t="s">
        <v>108</v>
      </c>
      <c r="C15" s="210" t="s">
        <v>109</v>
      </c>
      <c r="D15" s="228" t="s">
        <v>110</v>
      </c>
      <c r="E15" s="228"/>
      <c r="F15" s="229">
        <v>1609</v>
      </c>
      <c r="G15" s="230">
        <v>2111.27</v>
      </c>
      <c r="H15" s="228"/>
      <c r="I15" s="242">
        <v>1609</v>
      </c>
      <c r="J15" s="233">
        <v>2111.27</v>
      </c>
      <c r="K15" s="228"/>
      <c r="L15" s="238">
        <v>1609</v>
      </c>
      <c r="M15" s="235">
        <v>2111.27</v>
      </c>
      <c r="N15" s="236"/>
      <c r="O15" s="237">
        <v>1609</v>
      </c>
      <c r="P15" s="233">
        <v>2111.27</v>
      </c>
      <c r="Q15" s="231"/>
      <c r="R15" s="238">
        <v>760</v>
      </c>
      <c r="S15" s="230">
        <v>997.24</v>
      </c>
      <c r="T15" s="231"/>
      <c r="U15" s="237">
        <v>760</v>
      </c>
      <c r="V15" s="233">
        <v>997.24</v>
      </c>
      <c r="W15" s="231"/>
      <c r="X15" s="238">
        <v>760</v>
      </c>
      <c r="Y15" s="230">
        <v>997.24</v>
      </c>
      <c r="Z15" s="231"/>
      <c r="AA15" s="237">
        <v>760</v>
      </c>
      <c r="AB15" s="233">
        <v>997.24</v>
      </c>
      <c r="AC15" s="231"/>
      <c r="AD15" s="238">
        <v>760</v>
      </c>
      <c r="AE15" s="235">
        <v>997.24</v>
      </c>
      <c r="AF15" s="236"/>
      <c r="AG15" s="237">
        <v>760</v>
      </c>
      <c r="AH15" s="239">
        <v>997.24</v>
      </c>
      <c r="AI15" s="236"/>
      <c r="AJ15" s="238">
        <v>760</v>
      </c>
      <c r="AK15" s="235">
        <v>997.24</v>
      </c>
      <c r="AL15" s="236"/>
      <c r="AM15" s="237">
        <v>760</v>
      </c>
      <c r="AN15" s="239">
        <v>997.24</v>
      </c>
      <c r="AO15" s="237">
        <f t="shared" si="0"/>
        <v>12516</v>
      </c>
      <c r="AP15" s="239">
        <f t="shared" si="0"/>
        <v>16423</v>
      </c>
      <c r="AR15" s="226"/>
      <c r="AS15" s="226"/>
      <c r="AT15" s="226"/>
      <c r="AU15" s="226"/>
      <c r="AV15" s="226"/>
      <c r="AW15" s="226"/>
      <c r="AX15" s="226"/>
      <c r="AY15" s="226"/>
    </row>
    <row r="16" spans="1:42" ht="25.5" customHeight="1" thickBot="1">
      <c r="A16" s="241">
        <v>12</v>
      </c>
      <c r="B16" s="227" t="s">
        <v>19</v>
      </c>
      <c r="C16" s="210" t="s">
        <v>89</v>
      </c>
      <c r="D16" s="240" t="s">
        <v>111</v>
      </c>
      <c r="E16" s="240"/>
      <c r="F16" s="248"/>
      <c r="G16" s="230"/>
      <c r="H16" s="228"/>
      <c r="I16" s="242"/>
      <c r="J16" s="233"/>
      <c r="K16" s="228"/>
      <c r="L16" s="249"/>
      <c r="M16" s="235"/>
      <c r="N16" s="236"/>
      <c r="O16" s="237">
        <v>600</v>
      </c>
      <c r="P16" s="233">
        <v>699.48</v>
      </c>
      <c r="Q16" s="231"/>
      <c r="R16" s="238"/>
      <c r="S16" s="250"/>
      <c r="T16" s="251"/>
      <c r="U16" s="252"/>
      <c r="V16" s="253"/>
      <c r="W16" s="254"/>
      <c r="X16" s="255"/>
      <c r="Y16" s="250"/>
      <c r="Z16" s="251"/>
      <c r="AA16" s="237"/>
      <c r="AB16" s="233"/>
      <c r="AC16" s="231"/>
      <c r="AD16" s="255"/>
      <c r="AE16" s="256"/>
      <c r="AF16" s="257"/>
      <c r="AG16" s="258"/>
      <c r="AH16" s="259"/>
      <c r="AI16" s="257"/>
      <c r="AJ16" s="255"/>
      <c r="AK16" s="256"/>
      <c r="AL16" s="257"/>
      <c r="AM16" s="252">
        <v>500</v>
      </c>
      <c r="AN16" s="260">
        <v>724.32</v>
      </c>
      <c r="AO16" s="237">
        <f t="shared" si="0"/>
        <v>1100</v>
      </c>
      <c r="AP16" s="239">
        <f t="shared" si="0"/>
        <v>1423.8000000000002</v>
      </c>
    </row>
    <row r="17" spans="1:42" ht="26.25" customHeight="1" thickBot="1">
      <c r="A17" s="241">
        <v>13</v>
      </c>
      <c r="B17" s="227" t="s">
        <v>112</v>
      </c>
      <c r="C17" s="210" t="s">
        <v>89</v>
      </c>
      <c r="D17" s="240" t="s">
        <v>113</v>
      </c>
      <c r="E17" s="240"/>
      <c r="F17" s="261">
        <v>1120</v>
      </c>
      <c r="G17" s="230">
        <v>649.6</v>
      </c>
      <c r="H17" s="228"/>
      <c r="I17" s="242">
        <v>1680</v>
      </c>
      <c r="J17" s="233">
        <v>974.4</v>
      </c>
      <c r="K17" s="228"/>
      <c r="L17" s="238">
        <v>1920</v>
      </c>
      <c r="M17" s="235">
        <v>1113.6</v>
      </c>
      <c r="N17" s="236"/>
      <c r="O17" s="237">
        <v>1360</v>
      </c>
      <c r="P17" s="233">
        <v>788.8</v>
      </c>
      <c r="Q17" s="231"/>
      <c r="R17" s="229">
        <v>920</v>
      </c>
      <c r="S17" s="262">
        <v>662.4</v>
      </c>
      <c r="T17" s="254"/>
      <c r="U17" s="252">
        <v>520</v>
      </c>
      <c r="V17" s="253">
        <v>374.4</v>
      </c>
      <c r="W17" s="254"/>
      <c r="X17" s="263">
        <v>520</v>
      </c>
      <c r="Y17" s="262">
        <v>374.4</v>
      </c>
      <c r="Z17" s="254"/>
      <c r="AA17" s="237">
        <v>440</v>
      </c>
      <c r="AB17" s="233">
        <v>316.8</v>
      </c>
      <c r="AC17" s="231"/>
      <c r="AD17" s="263">
        <v>480</v>
      </c>
      <c r="AE17" s="264">
        <v>345.6</v>
      </c>
      <c r="AF17" s="265"/>
      <c r="AG17" s="252">
        <v>960</v>
      </c>
      <c r="AH17" s="260">
        <v>691.2</v>
      </c>
      <c r="AI17" s="265"/>
      <c r="AJ17" s="263">
        <v>1920</v>
      </c>
      <c r="AK17" s="264">
        <v>1382.4</v>
      </c>
      <c r="AL17" s="265"/>
      <c r="AM17" s="252">
        <v>2000</v>
      </c>
      <c r="AN17" s="260">
        <v>1440</v>
      </c>
      <c r="AO17" s="237">
        <f t="shared" si="0"/>
        <v>13840</v>
      </c>
      <c r="AP17" s="239">
        <f t="shared" si="0"/>
        <v>9113.599999999999</v>
      </c>
    </row>
    <row r="18" spans="1:42" ht="24.75" customHeight="1" thickBot="1">
      <c r="A18" s="241">
        <v>14</v>
      </c>
      <c r="B18" s="227" t="s">
        <v>20</v>
      </c>
      <c r="C18" s="210" t="s">
        <v>89</v>
      </c>
      <c r="D18" s="240" t="s">
        <v>114</v>
      </c>
      <c r="E18" s="240"/>
      <c r="F18" s="261">
        <v>2343</v>
      </c>
      <c r="G18" s="230">
        <v>2717.88</v>
      </c>
      <c r="H18" s="228"/>
      <c r="I18" s="242"/>
      <c r="J18" s="233"/>
      <c r="K18" s="228"/>
      <c r="L18" s="238">
        <v>688</v>
      </c>
      <c r="M18" s="235">
        <v>798.08</v>
      </c>
      <c r="N18" s="236"/>
      <c r="O18" s="237">
        <v>541</v>
      </c>
      <c r="P18" s="233">
        <v>627.56</v>
      </c>
      <c r="Q18" s="231"/>
      <c r="R18" s="229">
        <v>1018</v>
      </c>
      <c r="S18" s="230">
        <v>1465.92</v>
      </c>
      <c r="T18" s="231"/>
      <c r="U18" s="252"/>
      <c r="V18" s="253"/>
      <c r="W18" s="254"/>
      <c r="X18" s="238">
        <v>373</v>
      </c>
      <c r="Y18" s="230">
        <v>537.12</v>
      </c>
      <c r="Z18" s="231"/>
      <c r="AA18" s="237">
        <v>324</v>
      </c>
      <c r="AB18" s="233">
        <v>466.56</v>
      </c>
      <c r="AC18" s="231"/>
      <c r="AD18" s="263">
        <v>590</v>
      </c>
      <c r="AE18" s="264">
        <v>849.6</v>
      </c>
      <c r="AF18" s="265"/>
      <c r="AG18" s="252">
        <v>477</v>
      </c>
      <c r="AH18" s="260">
        <v>686.88</v>
      </c>
      <c r="AI18" s="265"/>
      <c r="AJ18" s="263">
        <v>839</v>
      </c>
      <c r="AK18" s="264">
        <v>1208.16</v>
      </c>
      <c r="AL18" s="265"/>
      <c r="AM18" s="252">
        <v>850</v>
      </c>
      <c r="AN18" s="260">
        <v>1224</v>
      </c>
      <c r="AO18" s="237">
        <f t="shared" si="0"/>
        <v>8043</v>
      </c>
      <c r="AP18" s="239">
        <f t="shared" si="0"/>
        <v>10581.759999999998</v>
      </c>
    </row>
    <row r="19" spans="1:42" ht="20.25" customHeight="1" thickBot="1">
      <c r="A19" s="241">
        <v>15</v>
      </c>
      <c r="B19" s="227" t="s">
        <v>21</v>
      </c>
      <c r="C19" s="210" t="s">
        <v>89</v>
      </c>
      <c r="D19" s="266" t="s">
        <v>115</v>
      </c>
      <c r="E19" s="266"/>
      <c r="F19" s="267">
        <v>8156</v>
      </c>
      <c r="G19" s="268">
        <v>9816.56</v>
      </c>
      <c r="H19" s="228"/>
      <c r="I19" s="269">
        <v>7095</v>
      </c>
      <c r="J19" s="270">
        <v>8539.54</v>
      </c>
      <c r="K19" s="228"/>
      <c r="L19" s="271">
        <v>3922</v>
      </c>
      <c r="M19" s="272">
        <v>4720.52</v>
      </c>
      <c r="N19" s="273"/>
      <c r="O19" s="274">
        <v>4208</v>
      </c>
      <c r="P19" s="270">
        <v>5064.75</v>
      </c>
      <c r="Q19" s="275"/>
      <c r="R19" s="276">
        <v>4753</v>
      </c>
      <c r="S19" s="268">
        <v>5720.71</v>
      </c>
      <c r="T19" s="275"/>
      <c r="U19" s="277">
        <v>4862</v>
      </c>
      <c r="V19" s="278">
        <v>5851.9</v>
      </c>
      <c r="W19" s="279"/>
      <c r="X19" s="271">
        <v>3226</v>
      </c>
      <c r="Y19" s="268">
        <v>3882.81</v>
      </c>
      <c r="Z19" s="275"/>
      <c r="AA19" s="277">
        <v>3720</v>
      </c>
      <c r="AB19" s="278">
        <v>2678.4</v>
      </c>
      <c r="AC19" s="279"/>
      <c r="AD19" s="280">
        <v>4265</v>
      </c>
      <c r="AE19" s="281">
        <v>5133.35</v>
      </c>
      <c r="AF19" s="282"/>
      <c r="AG19" s="277">
        <v>6690</v>
      </c>
      <c r="AH19" s="283">
        <v>8052.08</v>
      </c>
      <c r="AI19" s="282"/>
      <c r="AJ19" s="280">
        <v>9761</v>
      </c>
      <c r="AK19" s="281">
        <v>11748.34</v>
      </c>
      <c r="AL19" s="282"/>
      <c r="AM19" s="277">
        <v>16131</v>
      </c>
      <c r="AN19" s="283">
        <v>19415.27</v>
      </c>
      <c r="AO19" s="237">
        <f t="shared" si="0"/>
        <v>76789</v>
      </c>
      <c r="AP19" s="239">
        <f t="shared" si="0"/>
        <v>90624.23000000001</v>
      </c>
    </row>
    <row r="20" spans="1:42" ht="24.75" customHeight="1" thickBot="1">
      <c r="A20" s="241">
        <v>16</v>
      </c>
      <c r="B20" s="227" t="s">
        <v>116</v>
      </c>
      <c r="C20" s="210" t="s">
        <v>103</v>
      </c>
      <c r="D20" s="266" t="s">
        <v>117</v>
      </c>
      <c r="E20" s="228">
        <v>2941</v>
      </c>
      <c r="F20" s="267">
        <v>796240</v>
      </c>
      <c r="G20" s="268">
        <v>1216988.85</v>
      </c>
      <c r="H20" s="228">
        <v>2881</v>
      </c>
      <c r="I20" s="269">
        <v>931760</v>
      </c>
      <c r="J20" s="270">
        <v>1339177.02</v>
      </c>
      <c r="K20" s="228">
        <v>2700</v>
      </c>
      <c r="L20" s="271">
        <v>933440</v>
      </c>
      <c r="M20" s="272">
        <v>1301482.63</v>
      </c>
      <c r="N20" s="273">
        <v>2957</v>
      </c>
      <c r="O20" s="274">
        <v>1014770</v>
      </c>
      <c r="P20" s="270">
        <v>1411758.61</v>
      </c>
      <c r="Q20" s="275">
        <v>2757</v>
      </c>
      <c r="R20" s="276">
        <v>754040</v>
      </c>
      <c r="S20" s="268">
        <v>1145585.4</v>
      </c>
      <c r="T20" s="275">
        <v>2800</v>
      </c>
      <c r="U20" s="277">
        <v>987640</v>
      </c>
      <c r="V20" s="278">
        <v>1301405.81</v>
      </c>
      <c r="W20" s="279">
        <v>2500</v>
      </c>
      <c r="X20" s="271">
        <v>1081720</v>
      </c>
      <c r="Y20" s="268">
        <v>1286278.4</v>
      </c>
      <c r="Z20" s="275">
        <v>2700</v>
      </c>
      <c r="AA20" s="277">
        <v>2700</v>
      </c>
      <c r="AB20" s="278">
        <v>1264747.98</v>
      </c>
      <c r="AC20" s="279">
        <v>2600</v>
      </c>
      <c r="AD20" s="280">
        <v>949530</v>
      </c>
      <c r="AE20" s="281">
        <v>1228618.72</v>
      </c>
      <c r="AF20" s="282">
        <v>2700</v>
      </c>
      <c r="AG20" s="277">
        <v>918960</v>
      </c>
      <c r="AH20" s="278">
        <v>1234152.46</v>
      </c>
      <c r="AI20" s="279">
        <v>2880</v>
      </c>
      <c r="AJ20" s="280">
        <v>984900</v>
      </c>
      <c r="AK20" s="281">
        <v>1319337.11</v>
      </c>
      <c r="AL20" s="284">
        <v>2770</v>
      </c>
      <c r="AM20" s="277">
        <v>1055920</v>
      </c>
      <c r="AN20" s="283">
        <v>1336503.21</v>
      </c>
      <c r="AO20" s="237">
        <f t="shared" si="0"/>
        <v>10411620</v>
      </c>
      <c r="AP20" s="239">
        <f t="shared" si="0"/>
        <v>15386036.200000001</v>
      </c>
    </row>
    <row r="21" spans="1:42" ht="22.5" customHeight="1" thickBot="1">
      <c r="A21" s="241">
        <v>17</v>
      </c>
      <c r="B21" s="227" t="s">
        <v>22</v>
      </c>
      <c r="C21" s="210" t="s">
        <v>89</v>
      </c>
      <c r="D21" s="240" t="s">
        <v>118</v>
      </c>
      <c r="E21" s="240"/>
      <c r="F21" s="263">
        <v>1057</v>
      </c>
      <c r="G21" s="230">
        <v>1394.83</v>
      </c>
      <c r="H21" s="231"/>
      <c r="I21" s="242">
        <v>310</v>
      </c>
      <c r="J21" s="233">
        <v>409.39</v>
      </c>
      <c r="K21" s="231"/>
      <c r="L21" s="238">
        <v>705</v>
      </c>
      <c r="M21" s="235">
        <v>930.32</v>
      </c>
      <c r="N21" s="236"/>
      <c r="O21" s="237">
        <v>391</v>
      </c>
      <c r="P21" s="233">
        <v>515.68</v>
      </c>
      <c r="Q21" s="231"/>
      <c r="R21" s="238">
        <v>26</v>
      </c>
      <c r="S21" s="262">
        <v>34.11</v>
      </c>
      <c r="T21" s="254"/>
      <c r="U21" s="252">
        <v>42</v>
      </c>
      <c r="V21" s="253">
        <v>55.11</v>
      </c>
      <c r="W21" s="254"/>
      <c r="X21" s="238">
        <v>31</v>
      </c>
      <c r="Y21" s="230">
        <v>40.67</v>
      </c>
      <c r="Z21" s="231"/>
      <c r="AA21" s="252">
        <v>80</v>
      </c>
      <c r="AB21" s="253">
        <v>104.97</v>
      </c>
      <c r="AC21" s="254"/>
      <c r="AD21" s="263">
        <v>791</v>
      </c>
      <c r="AE21" s="264">
        <v>1043.17</v>
      </c>
      <c r="AF21" s="265"/>
      <c r="AG21" s="252">
        <v>882</v>
      </c>
      <c r="AH21" s="260">
        <v>1163.88</v>
      </c>
      <c r="AI21" s="265"/>
      <c r="AJ21" s="263">
        <v>632</v>
      </c>
      <c r="AK21" s="264">
        <v>833.22</v>
      </c>
      <c r="AL21" s="265"/>
      <c r="AM21" s="252">
        <v>759</v>
      </c>
      <c r="AN21" s="260">
        <v>1001.18</v>
      </c>
      <c r="AO21" s="237">
        <f t="shared" si="0"/>
        <v>5706</v>
      </c>
      <c r="AP21" s="239">
        <f t="shared" si="0"/>
        <v>7526.53</v>
      </c>
    </row>
    <row r="22" spans="1:42" ht="24.75" customHeight="1" thickBot="1">
      <c r="A22" s="241">
        <v>18</v>
      </c>
      <c r="B22" s="247" t="s">
        <v>119</v>
      </c>
      <c r="C22" s="210" t="s">
        <v>89</v>
      </c>
      <c r="D22" s="240" t="s">
        <v>120</v>
      </c>
      <c r="E22" s="240"/>
      <c r="F22" s="285"/>
      <c r="G22" s="286"/>
      <c r="H22" s="287"/>
      <c r="I22" s="288"/>
      <c r="J22" s="289"/>
      <c r="K22" s="287"/>
      <c r="L22" s="285"/>
      <c r="M22" s="286"/>
      <c r="N22" s="287"/>
      <c r="O22" s="237"/>
      <c r="P22" s="289"/>
      <c r="Q22" s="287"/>
      <c r="R22" s="263"/>
      <c r="S22" s="230"/>
      <c r="T22" s="231"/>
      <c r="U22" s="242"/>
      <c r="V22" s="233"/>
      <c r="W22" s="231"/>
      <c r="X22" s="238"/>
      <c r="Y22" s="235"/>
      <c r="Z22" s="236"/>
      <c r="AA22" s="252">
        <v>3720</v>
      </c>
      <c r="AB22" s="253">
        <v>2678.4</v>
      </c>
      <c r="AC22" s="254"/>
      <c r="AD22" s="263"/>
      <c r="AE22" s="264"/>
      <c r="AF22" s="265"/>
      <c r="AG22" s="252">
        <v>4100</v>
      </c>
      <c r="AH22" s="260">
        <v>2952</v>
      </c>
      <c r="AI22" s="265"/>
      <c r="AJ22" s="290"/>
      <c r="AK22" s="264"/>
      <c r="AL22" s="265"/>
      <c r="AM22" s="291"/>
      <c r="AN22" s="260"/>
      <c r="AO22" s="237">
        <f t="shared" si="0"/>
        <v>7820</v>
      </c>
      <c r="AP22" s="239">
        <f t="shared" si="0"/>
        <v>5630.4</v>
      </c>
    </row>
    <row r="23" spans="1:42" ht="24.75" customHeight="1" thickBot="1">
      <c r="A23" s="292">
        <v>19</v>
      </c>
      <c r="B23" s="293" t="s">
        <v>24</v>
      </c>
      <c r="C23" s="210" t="s">
        <v>89</v>
      </c>
      <c r="D23" s="266" t="s">
        <v>121</v>
      </c>
      <c r="E23" s="266"/>
      <c r="F23" s="294"/>
      <c r="G23" s="295"/>
      <c r="H23" s="296"/>
      <c r="I23" s="297"/>
      <c r="J23" s="298"/>
      <c r="K23" s="296"/>
      <c r="L23" s="294"/>
      <c r="M23" s="295"/>
      <c r="N23" s="296"/>
      <c r="O23" s="274"/>
      <c r="P23" s="298"/>
      <c r="Q23" s="296"/>
      <c r="R23" s="280"/>
      <c r="S23" s="268"/>
      <c r="T23" s="275"/>
      <c r="U23" s="269"/>
      <c r="V23" s="270"/>
      <c r="W23" s="275"/>
      <c r="X23" s="271"/>
      <c r="Y23" s="272"/>
      <c r="Z23" s="273"/>
      <c r="AA23" s="277"/>
      <c r="AB23" s="278"/>
      <c r="AC23" s="279"/>
      <c r="AD23" s="280"/>
      <c r="AE23" s="281"/>
      <c r="AF23" s="282"/>
      <c r="AG23" s="277"/>
      <c r="AH23" s="283"/>
      <c r="AI23" s="282"/>
      <c r="AJ23" s="299">
        <v>57828</v>
      </c>
      <c r="AK23" s="281">
        <v>75060.74</v>
      </c>
      <c r="AL23" s="282"/>
      <c r="AM23" s="300">
        <v>11355</v>
      </c>
      <c r="AN23" s="283">
        <v>14738.79</v>
      </c>
      <c r="AO23" s="237">
        <f t="shared" si="0"/>
        <v>69183</v>
      </c>
      <c r="AP23" s="239">
        <f t="shared" si="0"/>
        <v>89799.53</v>
      </c>
    </row>
    <row r="24" spans="1:42" ht="24.75" customHeight="1" thickBot="1">
      <c r="A24" s="301">
        <v>20</v>
      </c>
      <c r="B24" s="292" t="s">
        <v>122</v>
      </c>
      <c r="C24" s="210" t="s">
        <v>89</v>
      </c>
      <c r="D24" s="302" t="s">
        <v>123</v>
      </c>
      <c r="E24" s="266"/>
      <c r="F24" s="294"/>
      <c r="G24" s="295"/>
      <c r="H24" s="296"/>
      <c r="I24" s="303"/>
      <c r="J24" s="304"/>
      <c r="K24" s="275"/>
      <c r="L24" s="294"/>
      <c r="M24" s="272"/>
      <c r="N24" s="273"/>
      <c r="O24" s="305"/>
      <c r="P24" s="304"/>
      <c r="Q24" s="275"/>
      <c r="R24" s="271"/>
      <c r="S24" s="306"/>
      <c r="T24" s="279"/>
      <c r="U24" s="307"/>
      <c r="V24" s="308"/>
      <c r="W24" s="279"/>
      <c r="X24" s="271"/>
      <c r="Y24" s="268"/>
      <c r="Z24" s="275"/>
      <c r="AA24" s="307"/>
      <c r="AB24" s="308"/>
      <c r="AC24" s="279"/>
      <c r="AD24" s="280"/>
      <c r="AE24" s="281"/>
      <c r="AF24" s="282"/>
      <c r="AG24" s="307">
        <v>12800</v>
      </c>
      <c r="AH24" s="309">
        <v>16795.65</v>
      </c>
      <c r="AI24" s="282"/>
      <c r="AJ24" s="299">
        <v>11600</v>
      </c>
      <c r="AK24" s="281">
        <v>15221.06</v>
      </c>
      <c r="AL24" s="282"/>
      <c r="AM24" s="310">
        <v>7680</v>
      </c>
      <c r="AN24" s="309">
        <v>10777.39</v>
      </c>
      <c r="AO24" s="305">
        <f t="shared" si="0"/>
        <v>32080</v>
      </c>
      <c r="AP24" s="239">
        <f t="shared" si="0"/>
        <v>42794.1</v>
      </c>
    </row>
    <row r="25" spans="1:256" ht="39.75" customHeight="1" thickBot="1">
      <c r="A25" s="311"/>
      <c r="B25" s="185" t="s">
        <v>5</v>
      </c>
      <c r="C25" s="185"/>
      <c r="D25" s="312"/>
      <c r="E25" s="313"/>
      <c r="F25" s="314">
        <f>SUM(F5:F24)</f>
        <v>1400067</v>
      </c>
      <c r="G25" s="315">
        <f>SUM(G5:G24)</f>
        <v>1906541.4900000002</v>
      </c>
      <c r="H25" s="316"/>
      <c r="I25" s="317">
        <f>SUM(I5:I22)</f>
        <v>1521165</v>
      </c>
      <c r="J25" s="1">
        <f>SUM(J5:J22)</f>
        <v>1954227.98</v>
      </c>
      <c r="K25" s="316"/>
      <c r="L25" s="314">
        <f>SUM(L5:L22)</f>
        <v>1529501</v>
      </c>
      <c r="M25" s="318">
        <f>SUM(M5:M22)</f>
        <v>1927996.0799999998</v>
      </c>
      <c r="N25" s="2"/>
      <c r="O25" s="317">
        <f>SUM(O5:O22)</f>
        <v>1513689</v>
      </c>
      <c r="P25" s="319">
        <f aca="true" t="shared" si="1" ref="P25:Y25">SUM(P5:P22)</f>
        <v>1998374.84</v>
      </c>
      <c r="Q25" s="2"/>
      <c r="R25" s="314">
        <f t="shared" si="1"/>
        <v>1143492</v>
      </c>
      <c r="S25" s="315">
        <f t="shared" si="1"/>
        <v>1596807.1300000001</v>
      </c>
      <c r="T25" s="316"/>
      <c r="U25" s="317">
        <f t="shared" si="1"/>
        <v>1356897</v>
      </c>
      <c r="V25" s="1">
        <f t="shared" si="1"/>
        <v>1769800.6800000002</v>
      </c>
      <c r="W25" s="316"/>
      <c r="X25" s="314">
        <f t="shared" si="1"/>
        <v>1411681</v>
      </c>
      <c r="Y25" s="315">
        <f t="shared" si="1"/>
        <v>1724048.3199999998</v>
      </c>
      <c r="Z25" s="316"/>
      <c r="AA25" s="320">
        <f>SUM(AA5:AA22)</f>
        <v>323512</v>
      </c>
      <c r="AB25" s="1">
        <f>SUM(AB5:AB22)</f>
        <v>1697115.9</v>
      </c>
      <c r="AC25" s="316"/>
      <c r="AD25" s="314">
        <f>SUM(AD5:AD22)</f>
        <v>1301879</v>
      </c>
      <c r="AE25" s="321">
        <f>SUM(AE5:AE24)</f>
        <v>1700294.0199999998</v>
      </c>
      <c r="AF25" s="322"/>
      <c r="AG25" s="317">
        <f>SUM(AG5:AG24)</f>
        <v>1332451</v>
      </c>
      <c r="AH25" s="323">
        <f>SUM(AH5:AH24)</f>
        <v>1763864.5099999998</v>
      </c>
      <c r="AI25" s="322"/>
      <c r="AJ25" s="314">
        <f>SUM(AJ5:AJ24)</f>
        <v>1450758</v>
      </c>
      <c r="AK25" s="318">
        <f>SUM(AK5:AK22)</f>
        <v>1777780.28</v>
      </c>
      <c r="AL25" s="2"/>
      <c r="AM25" s="317">
        <f>SUM(AM5:AM24)</f>
        <v>1501364</v>
      </c>
      <c r="AN25" s="318">
        <f>SUM(AN5:AN24)</f>
        <v>1883225.98</v>
      </c>
      <c r="AO25" s="317">
        <f>SUM(AO5:AO22)</f>
        <v>15685193</v>
      </c>
      <c r="AP25" s="319">
        <f>SUM(AP5:AP22)</f>
        <v>21657765.380000003</v>
      </c>
      <c r="AQ25" s="324"/>
      <c r="AR25" s="325"/>
      <c r="AS25" s="325"/>
      <c r="AT25" s="325"/>
      <c r="AU25" s="325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326"/>
      <c r="EN25" s="326"/>
      <c r="EO25" s="326"/>
      <c r="EP25" s="326"/>
      <c r="EQ25" s="326"/>
      <c r="ER25" s="326"/>
      <c r="ES25" s="326"/>
      <c r="ET25" s="326"/>
      <c r="EU25" s="326"/>
      <c r="EV25" s="326"/>
      <c r="EW25" s="326"/>
      <c r="EX25" s="326"/>
      <c r="EY25" s="326"/>
      <c r="EZ25" s="326"/>
      <c r="FA25" s="326"/>
      <c r="FB25" s="326"/>
      <c r="FC25" s="326"/>
      <c r="FD25" s="326"/>
      <c r="FE25" s="326"/>
      <c r="FF25" s="326"/>
      <c r="FG25" s="326"/>
      <c r="FH25" s="326"/>
      <c r="FI25" s="326"/>
      <c r="FJ25" s="326"/>
      <c r="FK25" s="326"/>
      <c r="FL25" s="326"/>
      <c r="FM25" s="326"/>
      <c r="FN25" s="326"/>
      <c r="FO25" s="326"/>
      <c r="FP25" s="326"/>
      <c r="FQ25" s="326"/>
      <c r="FR25" s="326"/>
      <c r="FS25" s="326"/>
      <c r="FT25" s="326"/>
      <c r="FU25" s="326"/>
      <c r="FV25" s="326"/>
      <c r="FW25" s="326"/>
      <c r="FX25" s="326"/>
      <c r="FY25" s="326"/>
      <c r="FZ25" s="326"/>
      <c r="GA25" s="326"/>
      <c r="GB25" s="326"/>
      <c r="GC25" s="326"/>
      <c r="GD25" s="326"/>
      <c r="GE25" s="326"/>
      <c r="GF25" s="326"/>
      <c r="GG25" s="326"/>
      <c r="GH25" s="326"/>
      <c r="GI25" s="326"/>
      <c r="GJ25" s="326"/>
      <c r="GK25" s="326"/>
      <c r="GL25" s="326"/>
      <c r="GM25" s="326"/>
      <c r="GN25" s="326"/>
      <c r="GO25" s="326"/>
      <c r="GP25" s="326"/>
      <c r="GQ25" s="326"/>
      <c r="GR25" s="326"/>
      <c r="GS25" s="326"/>
      <c r="GT25" s="326"/>
      <c r="GU25" s="326"/>
      <c r="GV25" s="326"/>
      <c r="GW25" s="326"/>
      <c r="GX25" s="326"/>
      <c r="GY25" s="326"/>
      <c r="GZ25" s="326"/>
      <c r="HA25" s="326"/>
      <c r="HB25" s="326"/>
      <c r="HC25" s="326"/>
      <c r="HD25" s="326"/>
      <c r="HE25" s="326"/>
      <c r="HF25" s="326"/>
      <c r="HG25" s="326"/>
      <c r="HH25" s="326"/>
      <c r="HI25" s="326"/>
      <c r="HJ25" s="326"/>
      <c r="HK25" s="326"/>
      <c r="HL25" s="326"/>
      <c r="HM25" s="326"/>
      <c r="HN25" s="326"/>
      <c r="HO25" s="326"/>
      <c r="HP25" s="326"/>
      <c r="HQ25" s="326"/>
      <c r="HR25" s="326"/>
      <c r="HS25" s="326"/>
      <c r="HT25" s="326"/>
      <c r="HU25" s="326"/>
      <c r="HV25" s="326"/>
      <c r="HW25" s="326"/>
      <c r="HX25" s="326"/>
      <c r="HY25" s="326"/>
      <c r="HZ25" s="326"/>
      <c r="IA25" s="326"/>
      <c r="IB25" s="326"/>
      <c r="IC25" s="326"/>
      <c r="ID25" s="326"/>
      <c r="IE25" s="326"/>
      <c r="IF25" s="326"/>
      <c r="IG25" s="326"/>
      <c r="IH25" s="326"/>
      <c r="II25" s="326"/>
      <c r="IJ25" s="326"/>
      <c r="IK25" s="326"/>
      <c r="IL25" s="326"/>
      <c r="IM25" s="326"/>
      <c r="IN25" s="326"/>
      <c r="IO25" s="326"/>
      <c r="IP25" s="326"/>
      <c r="IQ25" s="326"/>
      <c r="IR25" s="326"/>
      <c r="IS25" s="326"/>
      <c r="IT25" s="326"/>
      <c r="IU25" s="326"/>
      <c r="IV25" s="326"/>
    </row>
    <row r="26" spans="1:256" ht="30" customHeight="1" thickBot="1">
      <c r="A26" s="327"/>
      <c r="B26" s="800" t="s">
        <v>124</v>
      </c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  <c r="O26" s="801"/>
      <c r="P26" s="801"/>
      <c r="Q26" s="801"/>
      <c r="R26" s="801"/>
      <c r="S26" s="801"/>
      <c r="T26" s="801"/>
      <c r="U26" s="801"/>
      <c r="V26" s="801"/>
      <c r="W26" s="801"/>
      <c r="X26" s="801"/>
      <c r="Y26" s="801"/>
      <c r="Z26" s="801"/>
      <c r="AA26" s="801"/>
      <c r="AB26" s="801"/>
      <c r="AC26" s="801"/>
      <c r="AD26" s="801"/>
      <c r="AE26" s="801"/>
      <c r="AF26" s="801"/>
      <c r="AG26" s="801"/>
      <c r="AH26" s="801"/>
      <c r="AI26" s="801"/>
      <c r="AJ26" s="801"/>
      <c r="AK26" s="801"/>
      <c r="AL26" s="801"/>
      <c r="AM26" s="801"/>
      <c r="AN26" s="801"/>
      <c r="AO26" s="802"/>
      <c r="AP26" s="803"/>
      <c r="AR26" s="328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6"/>
      <c r="DK26" s="326"/>
      <c r="DL26" s="326"/>
      <c r="DM26" s="326"/>
      <c r="DN26" s="326"/>
      <c r="DO26" s="326"/>
      <c r="DP26" s="326"/>
      <c r="DQ26" s="326"/>
      <c r="DR26" s="326"/>
      <c r="DS26" s="326"/>
      <c r="DT26" s="326"/>
      <c r="DU26" s="326"/>
      <c r="DV26" s="326"/>
      <c r="DW26" s="326"/>
      <c r="DX26" s="326"/>
      <c r="DY26" s="326"/>
      <c r="DZ26" s="326"/>
      <c r="EA26" s="326"/>
      <c r="EB26" s="326"/>
      <c r="EC26" s="326"/>
      <c r="ED26" s="326"/>
      <c r="EE26" s="326"/>
      <c r="EF26" s="326"/>
      <c r="EG26" s="326"/>
      <c r="EH26" s="326"/>
      <c r="EI26" s="326"/>
      <c r="EJ26" s="326"/>
      <c r="EK26" s="326"/>
      <c r="EL26" s="326"/>
      <c r="EM26" s="326"/>
      <c r="EN26" s="326"/>
      <c r="EO26" s="326"/>
      <c r="EP26" s="326"/>
      <c r="EQ26" s="326"/>
      <c r="ER26" s="326"/>
      <c r="ES26" s="326"/>
      <c r="ET26" s="326"/>
      <c r="EU26" s="326"/>
      <c r="EV26" s="326"/>
      <c r="EW26" s="326"/>
      <c r="EX26" s="326"/>
      <c r="EY26" s="326"/>
      <c r="EZ26" s="326"/>
      <c r="FA26" s="326"/>
      <c r="FB26" s="326"/>
      <c r="FC26" s="326"/>
      <c r="FD26" s="326"/>
      <c r="FE26" s="326"/>
      <c r="FF26" s="326"/>
      <c r="FG26" s="326"/>
      <c r="FH26" s="326"/>
      <c r="FI26" s="326"/>
      <c r="FJ26" s="326"/>
      <c r="FK26" s="326"/>
      <c r="FL26" s="326"/>
      <c r="FM26" s="326"/>
      <c r="FN26" s="326"/>
      <c r="FO26" s="326"/>
      <c r="FP26" s="326"/>
      <c r="FQ26" s="326"/>
      <c r="FR26" s="326"/>
      <c r="FS26" s="326"/>
      <c r="FT26" s="326"/>
      <c r="FU26" s="326"/>
      <c r="FV26" s="326"/>
      <c r="FW26" s="326"/>
      <c r="FX26" s="326"/>
      <c r="FY26" s="326"/>
      <c r="FZ26" s="326"/>
      <c r="GA26" s="326"/>
      <c r="GB26" s="326"/>
      <c r="GC26" s="326"/>
      <c r="GD26" s="326"/>
      <c r="GE26" s="326"/>
      <c r="GF26" s="326"/>
      <c r="GG26" s="326"/>
      <c r="GH26" s="326"/>
      <c r="GI26" s="326"/>
      <c r="GJ26" s="326"/>
      <c r="GK26" s="326"/>
      <c r="GL26" s="326"/>
      <c r="GM26" s="326"/>
      <c r="GN26" s="326"/>
      <c r="GO26" s="326"/>
      <c r="GP26" s="326"/>
      <c r="GQ26" s="326"/>
      <c r="GR26" s="326"/>
      <c r="GS26" s="326"/>
      <c r="GT26" s="326"/>
      <c r="GU26" s="326"/>
      <c r="GV26" s="326"/>
      <c r="GW26" s="326"/>
      <c r="GX26" s="326"/>
      <c r="GY26" s="326"/>
      <c r="GZ26" s="326"/>
      <c r="HA26" s="326"/>
      <c r="HB26" s="326"/>
      <c r="HC26" s="326"/>
      <c r="HD26" s="326"/>
      <c r="HE26" s="326"/>
      <c r="HF26" s="326"/>
      <c r="HG26" s="326"/>
      <c r="HH26" s="326"/>
      <c r="HI26" s="326"/>
      <c r="HJ26" s="326"/>
      <c r="HK26" s="326"/>
      <c r="HL26" s="326"/>
      <c r="HM26" s="326"/>
      <c r="HN26" s="326"/>
      <c r="HO26" s="326"/>
      <c r="HP26" s="326"/>
      <c r="HQ26" s="326"/>
      <c r="HR26" s="326"/>
      <c r="HS26" s="326"/>
      <c r="HT26" s="326"/>
      <c r="HU26" s="326"/>
      <c r="HV26" s="326"/>
      <c r="HW26" s="326"/>
      <c r="HX26" s="326"/>
      <c r="HY26" s="326"/>
      <c r="HZ26" s="326"/>
      <c r="IA26" s="326"/>
      <c r="IB26" s="326"/>
      <c r="IC26" s="326"/>
      <c r="ID26" s="326"/>
      <c r="IE26" s="326"/>
      <c r="IF26" s="326"/>
      <c r="IG26" s="326"/>
      <c r="IH26" s="326"/>
      <c r="II26" s="326"/>
      <c r="IJ26" s="326"/>
      <c r="IK26" s="326"/>
      <c r="IL26" s="326"/>
      <c r="IM26" s="326"/>
      <c r="IN26" s="326"/>
      <c r="IO26" s="326"/>
      <c r="IP26" s="326"/>
      <c r="IQ26" s="326"/>
      <c r="IR26" s="326"/>
      <c r="IS26" s="326"/>
      <c r="IT26" s="326"/>
      <c r="IU26" s="326"/>
      <c r="IV26" s="326"/>
    </row>
    <row r="27" spans="1:184" ht="2.25" customHeight="1" hidden="1">
      <c r="A27" s="807">
        <v>15</v>
      </c>
      <c r="B27" s="329" t="s">
        <v>125</v>
      </c>
      <c r="C27" s="329"/>
      <c r="D27" s="330" t="s">
        <v>126</v>
      </c>
      <c r="E27" s="331"/>
      <c r="F27" s="331">
        <v>165699</v>
      </c>
      <c r="G27" s="332">
        <v>249</v>
      </c>
      <c r="H27" s="332"/>
      <c r="I27" s="327">
        <v>385</v>
      </c>
      <c r="J27" s="327">
        <f>I27-G27</f>
        <v>136</v>
      </c>
      <c r="K27" s="327"/>
      <c r="L27" s="327">
        <v>30</v>
      </c>
      <c r="M27" s="327">
        <f>L27*J27</f>
        <v>4080</v>
      </c>
      <c r="N27" s="327"/>
      <c r="O27" s="327">
        <v>1.12</v>
      </c>
      <c r="P27" s="327"/>
      <c r="Q27" s="332"/>
      <c r="R27" s="332">
        <f>M27*O27</f>
        <v>4569.6</v>
      </c>
      <c r="S27" s="333"/>
      <c r="T27" s="333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5">
        <f aca="true" t="shared" si="2" ref="AO27:AP31">AM27+AJ27+AG27+AD27+AA27+X27+U27+R27+O27+L27+I27+F27</f>
        <v>170684.72</v>
      </c>
      <c r="AP27" s="336">
        <f t="shared" si="2"/>
        <v>4465</v>
      </c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7"/>
      <c r="BO27" s="337"/>
      <c r="BP27" s="337"/>
      <c r="BQ27" s="337"/>
      <c r="BR27" s="337"/>
      <c r="BS27" s="337"/>
      <c r="BT27" s="337"/>
      <c r="BU27" s="337"/>
      <c r="BV27" s="337"/>
      <c r="BW27" s="337"/>
      <c r="BX27" s="337"/>
      <c r="BY27" s="337"/>
      <c r="BZ27" s="337"/>
      <c r="CA27" s="337"/>
      <c r="CB27" s="337"/>
      <c r="CC27" s="337"/>
      <c r="CD27" s="337"/>
      <c r="CE27" s="337"/>
      <c r="CF27" s="337"/>
      <c r="CG27" s="337"/>
      <c r="CH27" s="337"/>
      <c r="CI27" s="337"/>
      <c r="CJ27" s="337"/>
      <c r="CK27" s="337"/>
      <c r="CL27" s="337"/>
      <c r="CM27" s="337"/>
      <c r="CN27" s="337"/>
      <c r="CO27" s="337"/>
      <c r="CP27" s="337"/>
      <c r="CQ27" s="337"/>
      <c r="CR27" s="337"/>
      <c r="CS27" s="337"/>
      <c r="CT27" s="337"/>
      <c r="CU27" s="337"/>
      <c r="CV27" s="337"/>
      <c r="CW27" s="337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7"/>
      <c r="EW27" s="337"/>
      <c r="EX27" s="337"/>
      <c r="EY27" s="337"/>
      <c r="EZ27" s="337"/>
      <c r="FA27" s="337"/>
      <c r="FB27" s="337"/>
      <c r="FC27" s="337"/>
      <c r="FD27" s="337"/>
      <c r="FE27" s="337"/>
      <c r="FF27" s="337"/>
      <c r="FG27" s="337"/>
      <c r="FH27" s="337"/>
      <c r="FI27" s="337"/>
      <c r="FJ27" s="337"/>
      <c r="FK27" s="337"/>
      <c r="FL27" s="337"/>
      <c r="FM27" s="337"/>
      <c r="FN27" s="337"/>
      <c r="FO27" s="337"/>
      <c r="FP27" s="337"/>
      <c r="FQ27" s="337"/>
      <c r="FR27" s="337"/>
      <c r="FS27" s="337"/>
      <c r="FT27" s="337"/>
      <c r="FU27" s="337"/>
      <c r="FV27" s="337"/>
      <c r="FW27" s="337"/>
      <c r="FX27" s="337"/>
      <c r="FY27" s="337"/>
      <c r="FZ27" s="337"/>
      <c r="GA27" s="337"/>
      <c r="GB27" s="337"/>
    </row>
    <row r="28" spans="1:184" ht="5.25" customHeight="1" hidden="1">
      <c r="A28" s="808"/>
      <c r="B28" s="329" t="s">
        <v>127</v>
      </c>
      <c r="C28" s="329"/>
      <c r="D28" s="338" t="s">
        <v>128</v>
      </c>
      <c r="E28" s="331"/>
      <c r="F28" s="331"/>
      <c r="G28" s="332"/>
      <c r="H28" s="332"/>
      <c r="I28" s="327"/>
      <c r="J28" s="327"/>
      <c r="K28" s="327"/>
      <c r="L28" s="327"/>
      <c r="M28" s="327"/>
      <c r="N28" s="327"/>
      <c r="O28" s="327"/>
      <c r="P28" s="327"/>
      <c r="Q28" s="332"/>
      <c r="R28" s="332"/>
      <c r="S28" s="339"/>
      <c r="T28" s="339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1">
        <f t="shared" si="2"/>
        <v>0</v>
      </c>
      <c r="AP28" s="342">
        <f t="shared" si="2"/>
        <v>0</v>
      </c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337"/>
      <c r="CE28" s="337"/>
      <c r="CF28" s="337"/>
      <c r="CG28" s="337"/>
      <c r="CH28" s="337"/>
      <c r="CI28" s="337"/>
      <c r="CJ28" s="337"/>
      <c r="CK28" s="337"/>
      <c r="CL28" s="337"/>
      <c r="CM28" s="337"/>
      <c r="CN28" s="337"/>
      <c r="CO28" s="337"/>
      <c r="CP28" s="337"/>
      <c r="CQ28" s="337"/>
      <c r="CR28" s="337"/>
      <c r="CS28" s="337"/>
      <c r="CT28" s="337"/>
      <c r="CU28" s="337"/>
      <c r="CV28" s="337"/>
      <c r="CW28" s="337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7"/>
      <c r="EU28" s="337"/>
      <c r="EV28" s="337"/>
      <c r="EW28" s="337"/>
      <c r="EX28" s="337"/>
      <c r="EY28" s="337"/>
      <c r="EZ28" s="337"/>
      <c r="FA28" s="337"/>
      <c r="FB28" s="337"/>
      <c r="FC28" s="337"/>
      <c r="FD28" s="337"/>
      <c r="FE28" s="337"/>
      <c r="FF28" s="337"/>
      <c r="FG28" s="337"/>
      <c r="FH28" s="337"/>
      <c r="FI28" s="337"/>
      <c r="FJ28" s="337"/>
      <c r="FK28" s="337"/>
      <c r="FL28" s="337"/>
      <c r="FM28" s="337"/>
      <c r="FN28" s="337"/>
      <c r="FO28" s="337"/>
      <c r="FP28" s="337"/>
      <c r="FQ28" s="337"/>
      <c r="FR28" s="337"/>
      <c r="FS28" s="337"/>
      <c r="FT28" s="337"/>
      <c r="FU28" s="337"/>
      <c r="FV28" s="337"/>
      <c r="FW28" s="337"/>
      <c r="FX28" s="337"/>
      <c r="FY28" s="337"/>
      <c r="FZ28" s="337"/>
      <c r="GA28" s="337"/>
      <c r="GB28" s="337"/>
    </row>
    <row r="29" spans="1:184" ht="36.75" customHeight="1" thickBot="1">
      <c r="A29" s="343">
        <v>21</v>
      </c>
      <c r="B29" s="344" t="s">
        <v>23</v>
      </c>
      <c r="C29" s="210" t="s">
        <v>89</v>
      </c>
      <c r="D29" s="210" t="s">
        <v>129</v>
      </c>
      <c r="E29" s="211"/>
      <c r="F29" s="345">
        <v>593</v>
      </c>
      <c r="G29" s="346">
        <v>769.71</v>
      </c>
      <c r="H29" s="347"/>
      <c r="I29" s="348">
        <v>592</v>
      </c>
      <c r="J29" s="349">
        <v>768.42</v>
      </c>
      <c r="K29" s="350"/>
      <c r="L29" s="351">
        <v>500</v>
      </c>
      <c r="M29" s="346">
        <v>649</v>
      </c>
      <c r="N29" s="347"/>
      <c r="O29" s="352">
        <v>459</v>
      </c>
      <c r="P29" s="353">
        <v>595.78</v>
      </c>
      <c r="Q29" s="354"/>
      <c r="R29" s="355">
        <v>524</v>
      </c>
      <c r="S29" s="356">
        <v>680.15</v>
      </c>
      <c r="T29" s="354"/>
      <c r="U29" s="352">
        <v>635</v>
      </c>
      <c r="V29" s="353">
        <v>824.23</v>
      </c>
      <c r="W29" s="354"/>
      <c r="X29" s="351">
        <v>343</v>
      </c>
      <c r="Y29" s="356">
        <v>445.21</v>
      </c>
      <c r="Z29" s="354"/>
      <c r="AA29" s="352">
        <v>416</v>
      </c>
      <c r="AB29" s="353">
        <v>539.97</v>
      </c>
      <c r="AC29" s="354"/>
      <c r="AD29" s="351">
        <v>429</v>
      </c>
      <c r="AE29" s="356">
        <v>556.84</v>
      </c>
      <c r="AF29" s="354"/>
      <c r="AG29" s="352">
        <v>659</v>
      </c>
      <c r="AH29" s="353">
        <v>855.38</v>
      </c>
      <c r="AI29" s="354"/>
      <c r="AJ29" s="345">
        <v>576</v>
      </c>
      <c r="AK29" s="346">
        <v>747.65</v>
      </c>
      <c r="AL29" s="347"/>
      <c r="AM29" s="348">
        <v>637</v>
      </c>
      <c r="AN29" s="346">
        <v>826.9</v>
      </c>
      <c r="AO29" s="221">
        <f t="shared" si="2"/>
        <v>6363</v>
      </c>
      <c r="AP29" s="224">
        <f t="shared" si="2"/>
        <v>8259.24</v>
      </c>
      <c r="AR29" s="357">
        <f>AQ25+AQ32+AQ41</f>
        <v>0</v>
      </c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7"/>
      <c r="CW29" s="337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337"/>
      <c r="EQ29" s="337"/>
      <c r="ER29" s="337"/>
      <c r="ES29" s="337"/>
      <c r="ET29" s="337"/>
      <c r="EU29" s="337"/>
      <c r="EV29" s="337"/>
      <c r="EW29" s="337"/>
      <c r="EX29" s="337"/>
      <c r="EY29" s="337"/>
      <c r="EZ29" s="337"/>
      <c r="FA29" s="337"/>
      <c r="FB29" s="337"/>
      <c r="FC29" s="337"/>
      <c r="FD29" s="337"/>
      <c r="FE29" s="337"/>
      <c r="FF29" s="337"/>
      <c r="FG29" s="337"/>
      <c r="FH29" s="337"/>
      <c r="FI29" s="337"/>
      <c r="FJ29" s="337"/>
      <c r="FK29" s="337"/>
      <c r="FL29" s="337"/>
      <c r="FM29" s="337"/>
      <c r="FN29" s="337"/>
      <c r="FO29" s="337"/>
      <c r="FP29" s="337"/>
      <c r="FQ29" s="337"/>
      <c r="FR29" s="337"/>
      <c r="FS29" s="337"/>
      <c r="FT29" s="337"/>
      <c r="FU29" s="337"/>
      <c r="FV29" s="337"/>
      <c r="FW29" s="337"/>
      <c r="FX29" s="337"/>
      <c r="FY29" s="337"/>
      <c r="FZ29" s="337"/>
      <c r="GA29" s="337"/>
      <c r="GB29" s="337"/>
    </row>
    <row r="30" spans="1:42" ht="23.25" customHeight="1" thickBot="1">
      <c r="A30" s="358">
        <v>22</v>
      </c>
      <c r="B30" s="359" t="s">
        <v>2</v>
      </c>
      <c r="C30" s="210" t="s">
        <v>89</v>
      </c>
      <c r="D30" s="227" t="s">
        <v>130</v>
      </c>
      <c r="E30" s="228"/>
      <c r="F30" s="360">
        <v>550</v>
      </c>
      <c r="G30" s="361">
        <v>724.28</v>
      </c>
      <c r="H30" s="362"/>
      <c r="I30" s="242">
        <v>780</v>
      </c>
      <c r="J30" s="363">
        <v>1026.72</v>
      </c>
      <c r="K30" s="364"/>
      <c r="L30" s="238">
        <v>520</v>
      </c>
      <c r="M30" s="365">
        <v>685.34</v>
      </c>
      <c r="N30" s="366"/>
      <c r="O30" s="237">
        <v>900</v>
      </c>
      <c r="P30" s="233">
        <v>1185.07</v>
      </c>
      <c r="Q30" s="231"/>
      <c r="R30" s="367">
        <v>1000</v>
      </c>
      <c r="S30" s="262">
        <v>1317.47</v>
      </c>
      <c r="T30" s="254"/>
      <c r="U30" s="252">
        <v>940</v>
      </c>
      <c r="V30" s="253">
        <v>1238.59</v>
      </c>
      <c r="W30" s="254"/>
      <c r="X30" s="263">
        <v>840</v>
      </c>
      <c r="Y30" s="262">
        <v>1105.9</v>
      </c>
      <c r="Z30" s="254"/>
      <c r="AA30" s="252">
        <v>740</v>
      </c>
      <c r="AB30" s="253">
        <v>974.8</v>
      </c>
      <c r="AC30" s="254"/>
      <c r="AD30" s="263">
        <v>880</v>
      </c>
      <c r="AE30" s="262">
        <v>1159.11</v>
      </c>
      <c r="AF30" s="254"/>
      <c r="AG30" s="252">
        <v>660</v>
      </c>
      <c r="AH30" s="253">
        <v>869.66</v>
      </c>
      <c r="AI30" s="254"/>
      <c r="AJ30" s="360">
        <v>960</v>
      </c>
      <c r="AK30" s="368">
        <v>1264.25</v>
      </c>
      <c r="AL30" s="369"/>
      <c r="AM30" s="291">
        <v>840</v>
      </c>
      <c r="AN30" s="368">
        <v>1105.9</v>
      </c>
      <c r="AO30" s="237">
        <f t="shared" si="2"/>
        <v>9610</v>
      </c>
      <c r="AP30" s="239">
        <f t="shared" si="2"/>
        <v>12657.09</v>
      </c>
    </row>
    <row r="31" spans="1:42" ht="24" customHeight="1" thickBot="1">
      <c r="A31" s="358">
        <v>23</v>
      </c>
      <c r="B31" s="370" t="s">
        <v>131</v>
      </c>
      <c r="C31" s="210" t="s">
        <v>89</v>
      </c>
      <c r="D31" s="371" t="s">
        <v>132</v>
      </c>
      <c r="E31" s="372"/>
      <c r="F31" s="280">
        <v>12270</v>
      </c>
      <c r="G31" s="272">
        <v>16401.53</v>
      </c>
      <c r="H31" s="273"/>
      <c r="I31" s="305">
        <v>12600</v>
      </c>
      <c r="J31" s="373">
        <v>16841.55</v>
      </c>
      <c r="K31" s="273"/>
      <c r="L31" s="271">
        <v>11400</v>
      </c>
      <c r="M31" s="272">
        <v>15238.52</v>
      </c>
      <c r="N31" s="273"/>
      <c r="O31" s="274">
        <v>10650</v>
      </c>
      <c r="P31" s="270">
        <v>14235.17</v>
      </c>
      <c r="Q31" s="275"/>
      <c r="R31" s="374">
        <v>7170</v>
      </c>
      <c r="S31" s="306">
        <v>9584.43</v>
      </c>
      <c r="T31" s="279"/>
      <c r="U31" s="277">
        <v>7140</v>
      </c>
      <c r="V31" s="278">
        <v>9544.19</v>
      </c>
      <c r="W31" s="279"/>
      <c r="X31" s="280">
        <v>6330</v>
      </c>
      <c r="Y31" s="306">
        <v>8461.66</v>
      </c>
      <c r="Z31" s="279"/>
      <c r="AA31" s="277">
        <v>5970</v>
      </c>
      <c r="AB31" s="278">
        <v>7980.1</v>
      </c>
      <c r="AC31" s="279"/>
      <c r="AD31" s="280">
        <v>7440</v>
      </c>
      <c r="AE31" s="306">
        <v>9945.28</v>
      </c>
      <c r="AF31" s="279"/>
      <c r="AG31" s="277">
        <v>9000</v>
      </c>
      <c r="AH31" s="278">
        <v>12029.86</v>
      </c>
      <c r="AI31" s="279"/>
      <c r="AJ31" s="280">
        <v>10320</v>
      </c>
      <c r="AK31" s="281">
        <v>13795.14</v>
      </c>
      <c r="AL31" s="282"/>
      <c r="AM31" s="300">
        <v>10830</v>
      </c>
      <c r="AN31" s="375">
        <v>14476.59</v>
      </c>
      <c r="AO31" s="305">
        <f t="shared" si="2"/>
        <v>111120</v>
      </c>
      <c r="AP31" s="373">
        <f t="shared" si="2"/>
        <v>148534.02</v>
      </c>
    </row>
    <row r="32" spans="1:42" ht="28.5" customHeight="1" thickBot="1">
      <c r="A32" s="376"/>
      <c r="B32" s="377" t="s">
        <v>5</v>
      </c>
      <c r="C32" s="378"/>
      <c r="D32" s="379"/>
      <c r="E32" s="380"/>
      <c r="F32" s="381">
        <f>F29+F30+F31</f>
        <v>13413</v>
      </c>
      <c r="G32" s="382">
        <f aca="true" t="shared" si="3" ref="G32:AP32">G29+G30+G31</f>
        <v>17895.52</v>
      </c>
      <c r="H32" s="322"/>
      <c r="I32" s="383">
        <f t="shared" si="3"/>
        <v>13972</v>
      </c>
      <c r="J32" s="384">
        <f t="shared" si="3"/>
        <v>18636.69</v>
      </c>
      <c r="K32" s="322"/>
      <c r="L32" s="381">
        <f t="shared" si="3"/>
        <v>12420</v>
      </c>
      <c r="M32" s="382">
        <f t="shared" si="3"/>
        <v>16572.86</v>
      </c>
      <c r="N32" s="322"/>
      <c r="O32" s="385">
        <f t="shared" si="3"/>
        <v>12009</v>
      </c>
      <c r="P32" s="386">
        <f t="shared" si="3"/>
        <v>16016.02</v>
      </c>
      <c r="Q32" s="316"/>
      <c r="R32" s="387">
        <f t="shared" si="3"/>
        <v>8694</v>
      </c>
      <c r="S32" s="388">
        <f t="shared" si="3"/>
        <v>11582.05</v>
      </c>
      <c r="T32" s="2"/>
      <c r="U32" s="385">
        <f t="shared" si="3"/>
        <v>8715</v>
      </c>
      <c r="V32" s="386">
        <f t="shared" si="3"/>
        <v>11607.01</v>
      </c>
      <c r="W32" s="316"/>
      <c r="X32" s="381">
        <f t="shared" si="3"/>
        <v>7513</v>
      </c>
      <c r="Y32" s="389">
        <f t="shared" si="3"/>
        <v>10012.77</v>
      </c>
      <c r="Z32" s="316"/>
      <c r="AA32" s="383">
        <f t="shared" si="3"/>
        <v>7126</v>
      </c>
      <c r="AB32" s="386">
        <f t="shared" si="3"/>
        <v>9494.87</v>
      </c>
      <c r="AC32" s="316"/>
      <c r="AD32" s="381">
        <f t="shared" si="3"/>
        <v>8749</v>
      </c>
      <c r="AE32" s="389">
        <f t="shared" si="3"/>
        <v>11661.23</v>
      </c>
      <c r="AF32" s="316"/>
      <c r="AG32" s="383">
        <f t="shared" si="3"/>
        <v>10319</v>
      </c>
      <c r="AH32" s="386">
        <f t="shared" si="3"/>
        <v>13754.900000000001</v>
      </c>
      <c r="AI32" s="316"/>
      <c r="AJ32" s="387">
        <f t="shared" si="3"/>
        <v>11856</v>
      </c>
      <c r="AK32" s="390">
        <f t="shared" si="3"/>
        <v>15807.039999999999</v>
      </c>
      <c r="AL32" s="391"/>
      <c r="AM32" s="385">
        <f t="shared" si="3"/>
        <v>12307</v>
      </c>
      <c r="AN32" s="392">
        <f t="shared" si="3"/>
        <v>16409.39</v>
      </c>
      <c r="AO32" s="393">
        <f t="shared" si="3"/>
        <v>127093</v>
      </c>
      <c r="AP32" s="394">
        <f t="shared" si="3"/>
        <v>169450.34999999998</v>
      </c>
    </row>
    <row r="33" spans="1:42" ht="43.5" customHeight="1" thickBot="1">
      <c r="A33" s="395"/>
      <c r="B33" s="800" t="s">
        <v>133</v>
      </c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  <c r="Q33" s="801"/>
      <c r="R33" s="801"/>
      <c r="S33" s="801"/>
      <c r="T33" s="801"/>
      <c r="U33" s="801"/>
      <c r="V33" s="801"/>
      <c r="W33" s="801"/>
      <c r="X33" s="801"/>
      <c r="Y33" s="801"/>
      <c r="Z33" s="801"/>
      <c r="AA33" s="801"/>
      <c r="AB33" s="801"/>
      <c r="AC33" s="801"/>
      <c r="AD33" s="801"/>
      <c r="AE33" s="801"/>
      <c r="AF33" s="801"/>
      <c r="AG33" s="801"/>
      <c r="AH33" s="801"/>
      <c r="AI33" s="801"/>
      <c r="AJ33" s="801"/>
      <c r="AK33" s="801"/>
      <c r="AL33" s="801"/>
      <c r="AM33" s="801"/>
      <c r="AN33" s="801"/>
      <c r="AO33" s="809"/>
      <c r="AP33" s="810"/>
    </row>
    <row r="34" spans="1:42" ht="24.75" customHeight="1" thickBot="1">
      <c r="A34" s="396">
        <v>24</v>
      </c>
      <c r="B34" s="372" t="s">
        <v>134</v>
      </c>
      <c r="C34" s="210" t="s">
        <v>89</v>
      </c>
      <c r="D34" s="397" t="s">
        <v>135</v>
      </c>
      <c r="E34" s="398"/>
      <c r="F34" s="238"/>
      <c r="G34" s="235"/>
      <c r="H34" s="399"/>
      <c r="I34" s="280">
        <v>287</v>
      </c>
      <c r="J34" s="281">
        <v>192.8</v>
      </c>
      <c r="K34" s="400"/>
      <c r="L34" s="274">
        <v>208</v>
      </c>
      <c r="M34" s="272">
        <v>127.73</v>
      </c>
      <c r="N34" s="399"/>
      <c r="O34" s="271">
        <v>168</v>
      </c>
      <c r="P34" s="268">
        <v>99.47</v>
      </c>
      <c r="Q34" s="401"/>
      <c r="R34" s="271">
        <v>173</v>
      </c>
      <c r="S34" s="270">
        <v>128.93</v>
      </c>
      <c r="T34" s="401"/>
      <c r="U34" s="271"/>
      <c r="V34" s="306"/>
      <c r="W34" s="402"/>
      <c r="X34" s="277">
        <v>271</v>
      </c>
      <c r="Y34" s="278">
        <v>200.36</v>
      </c>
      <c r="Z34" s="402"/>
      <c r="AA34" s="280">
        <v>132</v>
      </c>
      <c r="AB34" s="306">
        <v>98.53</v>
      </c>
      <c r="AC34" s="402"/>
      <c r="AD34" s="277">
        <v>128</v>
      </c>
      <c r="AE34" s="306">
        <v>96.53</v>
      </c>
      <c r="AF34" s="402"/>
      <c r="AG34" s="280">
        <v>330</v>
      </c>
      <c r="AH34" s="306">
        <v>237.6</v>
      </c>
      <c r="AI34" s="402"/>
      <c r="AJ34" s="277">
        <v>435</v>
      </c>
      <c r="AK34" s="306">
        <v>313.2</v>
      </c>
      <c r="AL34" s="402"/>
      <c r="AM34" s="280">
        <v>300</v>
      </c>
      <c r="AN34" s="306">
        <v>216</v>
      </c>
      <c r="AO34" s="221">
        <f aca="true" t="shared" si="4" ref="AO34:AP40">AM34+AJ34+AG34+AD34+AA34+X34+U34+R34+O34+L34+I34+F34</f>
        <v>2432</v>
      </c>
      <c r="AP34" s="224">
        <f t="shared" si="4"/>
        <v>1711.15</v>
      </c>
    </row>
    <row r="35" spans="1:42" ht="24.75" customHeight="1" thickBot="1">
      <c r="A35" s="403">
        <v>25</v>
      </c>
      <c r="B35" s="372" t="s">
        <v>136</v>
      </c>
      <c r="C35" s="210" t="s">
        <v>89</v>
      </c>
      <c r="D35" s="397" t="s">
        <v>137</v>
      </c>
      <c r="E35" s="266"/>
      <c r="F35" s="238"/>
      <c r="G35" s="235"/>
      <c r="H35" s="273"/>
      <c r="I35" s="280"/>
      <c r="J35" s="281"/>
      <c r="K35" s="282"/>
      <c r="L35" s="274"/>
      <c r="M35" s="272"/>
      <c r="N35" s="273"/>
      <c r="O35" s="271"/>
      <c r="P35" s="268"/>
      <c r="Q35" s="275"/>
      <c r="R35" s="271"/>
      <c r="S35" s="270"/>
      <c r="T35" s="275"/>
      <c r="U35" s="271"/>
      <c r="V35" s="306"/>
      <c r="W35" s="279"/>
      <c r="X35" s="277"/>
      <c r="Y35" s="278"/>
      <c r="Z35" s="279"/>
      <c r="AA35" s="280"/>
      <c r="AB35" s="306"/>
      <c r="AC35" s="279"/>
      <c r="AD35" s="277">
        <v>427</v>
      </c>
      <c r="AE35" s="306">
        <v>307.44</v>
      </c>
      <c r="AF35" s="279"/>
      <c r="AG35" s="280"/>
      <c r="AH35" s="306"/>
      <c r="AI35" s="279"/>
      <c r="AJ35" s="277"/>
      <c r="AK35" s="306"/>
      <c r="AL35" s="279"/>
      <c r="AM35" s="280"/>
      <c r="AN35" s="306"/>
      <c r="AO35" s="237">
        <f t="shared" si="4"/>
        <v>427</v>
      </c>
      <c r="AP35" s="239">
        <f t="shared" si="4"/>
        <v>307.44</v>
      </c>
    </row>
    <row r="36" spans="1:42" ht="26.25" customHeight="1" thickBot="1">
      <c r="A36" s="403">
        <v>26</v>
      </c>
      <c r="B36" s="372" t="s">
        <v>138</v>
      </c>
      <c r="C36" s="210" t="s">
        <v>89</v>
      </c>
      <c r="D36" s="397" t="s">
        <v>139</v>
      </c>
      <c r="E36" s="266"/>
      <c r="F36" s="238"/>
      <c r="G36" s="235"/>
      <c r="H36" s="273"/>
      <c r="I36" s="280"/>
      <c r="J36" s="281"/>
      <c r="K36" s="282"/>
      <c r="L36" s="274"/>
      <c r="M36" s="272"/>
      <c r="N36" s="273"/>
      <c r="O36" s="271"/>
      <c r="P36" s="268"/>
      <c r="Q36" s="275"/>
      <c r="R36" s="271"/>
      <c r="S36" s="270"/>
      <c r="T36" s="275"/>
      <c r="U36" s="271"/>
      <c r="V36" s="306"/>
      <c r="W36" s="279"/>
      <c r="X36" s="277"/>
      <c r="Y36" s="278"/>
      <c r="Z36" s="279"/>
      <c r="AA36" s="280"/>
      <c r="AB36" s="306"/>
      <c r="AC36" s="279"/>
      <c r="AD36" s="277">
        <v>500</v>
      </c>
      <c r="AE36" s="306">
        <v>365.76</v>
      </c>
      <c r="AF36" s="279"/>
      <c r="AG36" s="280"/>
      <c r="AH36" s="306"/>
      <c r="AI36" s="279"/>
      <c r="AJ36" s="277"/>
      <c r="AK36" s="306"/>
      <c r="AL36" s="279"/>
      <c r="AM36" s="280"/>
      <c r="AN36" s="306"/>
      <c r="AO36" s="237">
        <f t="shared" si="4"/>
        <v>500</v>
      </c>
      <c r="AP36" s="239">
        <f t="shared" si="4"/>
        <v>365.76</v>
      </c>
    </row>
    <row r="37" spans="1:42" ht="25.5" customHeight="1" thickBot="1">
      <c r="A37" s="403">
        <v>27</v>
      </c>
      <c r="B37" s="372" t="s">
        <v>140</v>
      </c>
      <c r="C37" s="210" t="s">
        <v>89</v>
      </c>
      <c r="D37" s="397" t="s">
        <v>141</v>
      </c>
      <c r="E37" s="266"/>
      <c r="F37" s="238">
        <v>671</v>
      </c>
      <c r="G37" s="235">
        <v>1072.09</v>
      </c>
      <c r="H37" s="273"/>
      <c r="I37" s="280">
        <v>671</v>
      </c>
      <c r="J37" s="281">
        <v>1072.09</v>
      </c>
      <c r="K37" s="282"/>
      <c r="L37" s="274">
        <v>671</v>
      </c>
      <c r="M37" s="272">
        <v>1072.09</v>
      </c>
      <c r="N37" s="273"/>
      <c r="O37" s="271">
        <v>671</v>
      </c>
      <c r="P37" s="268">
        <v>1072.09</v>
      </c>
      <c r="Q37" s="275"/>
      <c r="R37" s="271">
        <v>671</v>
      </c>
      <c r="S37" s="270">
        <v>1072.09</v>
      </c>
      <c r="T37" s="275"/>
      <c r="U37" s="271">
        <v>671</v>
      </c>
      <c r="V37" s="306">
        <v>1072.09</v>
      </c>
      <c r="W37" s="279"/>
      <c r="X37" s="277">
        <v>671</v>
      </c>
      <c r="Y37" s="278">
        <v>1072.09</v>
      </c>
      <c r="Z37" s="279"/>
      <c r="AA37" s="280">
        <v>671</v>
      </c>
      <c r="AB37" s="306">
        <v>1072.09</v>
      </c>
      <c r="AC37" s="279"/>
      <c r="AD37" s="277">
        <v>671</v>
      </c>
      <c r="AE37" s="306">
        <v>1072.09</v>
      </c>
      <c r="AF37" s="279"/>
      <c r="AG37" s="280">
        <v>671</v>
      </c>
      <c r="AH37" s="306">
        <v>1072.09</v>
      </c>
      <c r="AI37" s="279"/>
      <c r="AJ37" s="277">
        <v>671</v>
      </c>
      <c r="AK37" s="306">
        <v>1072.09</v>
      </c>
      <c r="AL37" s="279"/>
      <c r="AM37" s="280">
        <v>671</v>
      </c>
      <c r="AN37" s="306">
        <v>1072.09</v>
      </c>
      <c r="AO37" s="237">
        <f t="shared" si="4"/>
        <v>8052</v>
      </c>
      <c r="AP37" s="239">
        <f t="shared" si="4"/>
        <v>12865.08</v>
      </c>
    </row>
    <row r="38" spans="1:42" ht="22.5" customHeight="1" thickBot="1">
      <c r="A38" s="403">
        <v>28</v>
      </c>
      <c r="B38" s="372" t="s">
        <v>142</v>
      </c>
      <c r="C38" s="210" t="s">
        <v>89</v>
      </c>
      <c r="D38" s="397" t="s">
        <v>143</v>
      </c>
      <c r="E38" s="266"/>
      <c r="F38" s="238"/>
      <c r="G38" s="235"/>
      <c r="H38" s="273"/>
      <c r="I38" s="280"/>
      <c r="J38" s="281"/>
      <c r="K38" s="282"/>
      <c r="L38" s="274"/>
      <c r="M38" s="272"/>
      <c r="N38" s="273"/>
      <c r="O38" s="271"/>
      <c r="P38" s="268"/>
      <c r="Q38" s="275"/>
      <c r="R38" s="271"/>
      <c r="S38" s="270"/>
      <c r="T38" s="275"/>
      <c r="U38" s="271"/>
      <c r="V38" s="306"/>
      <c r="W38" s="279"/>
      <c r="X38" s="277"/>
      <c r="Y38" s="278"/>
      <c r="Z38" s="279"/>
      <c r="AA38" s="280"/>
      <c r="AB38" s="306"/>
      <c r="AC38" s="279"/>
      <c r="AD38" s="277"/>
      <c r="AE38" s="306"/>
      <c r="AF38" s="279"/>
      <c r="AG38" s="280"/>
      <c r="AH38" s="306"/>
      <c r="AI38" s="279"/>
      <c r="AJ38" s="277"/>
      <c r="AK38" s="306"/>
      <c r="AL38" s="279"/>
      <c r="AM38" s="280"/>
      <c r="AN38" s="306"/>
      <c r="AO38" s="237">
        <f t="shared" si="4"/>
        <v>0</v>
      </c>
      <c r="AP38" s="239">
        <f t="shared" si="4"/>
        <v>0</v>
      </c>
    </row>
    <row r="39" spans="1:42" ht="22.5" customHeight="1" thickBot="1">
      <c r="A39" s="403">
        <v>29</v>
      </c>
      <c r="B39" s="372" t="s">
        <v>144</v>
      </c>
      <c r="C39" s="210" t="s">
        <v>89</v>
      </c>
      <c r="D39" s="397" t="s">
        <v>145</v>
      </c>
      <c r="E39" s="266"/>
      <c r="F39" s="238">
        <v>1019</v>
      </c>
      <c r="G39" s="235">
        <v>624.08</v>
      </c>
      <c r="H39" s="273"/>
      <c r="I39" s="280">
        <v>895</v>
      </c>
      <c r="J39" s="281">
        <v>548.1</v>
      </c>
      <c r="K39" s="282"/>
      <c r="L39" s="274">
        <v>768</v>
      </c>
      <c r="M39" s="272">
        <v>470.38</v>
      </c>
      <c r="N39" s="273"/>
      <c r="O39" s="271">
        <v>552</v>
      </c>
      <c r="P39" s="268">
        <v>338.14</v>
      </c>
      <c r="Q39" s="275"/>
      <c r="R39" s="271">
        <v>283</v>
      </c>
      <c r="S39" s="270">
        <v>215.28</v>
      </c>
      <c r="T39" s="275"/>
      <c r="U39" s="271"/>
      <c r="V39" s="306"/>
      <c r="W39" s="279"/>
      <c r="X39" s="277">
        <v>267</v>
      </c>
      <c r="Y39" s="278">
        <v>203.04</v>
      </c>
      <c r="Z39" s="279"/>
      <c r="AA39" s="280">
        <v>115</v>
      </c>
      <c r="AB39" s="306">
        <v>87.12</v>
      </c>
      <c r="AC39" s="279"/>
      <c r="AD39" s="277">
        <v>127</v>
      </c>
      <c r="AE39" s="306">
        <v>96.48</v>
      </c>
      <c r="AF39" s="279"/>
      <c r="AG39" s="280">
        <v>381</v>
      </c>
      <c r="AH39" s="306">
        <v>289.44</v>
      </c>
      <c r="AI39" s="279"/>
      <c r="AJ39" s="277">
        <v>617</v>
      </c>
      <c r="AK39" s="306">
        <v>469.44</v>
      </c>
      <c r="AL39" s="279"/>
      <c r="AM39" s="280">
        <v>837</v>
      </c>
      <c r="AN39" s="306">
        <v>636.48</v>
      </c>
      <c r="AO39" s="237">
        <f t="shared" si="4"/>
        <v>5861</v>
      </c>
      <c r="AP39" s="239">
        <f t="shared" si="4"/>
        <v>3977.98</v>
      </c>
    </row>
    <row r="40" spans="1:42" ht="24.75" customHeight="1" thickBot="1">
      <c r="A40" s="403">
        <v>30</v>
      </c>
      <c r="B40" s="372" t="s">
        <v>146</v>
      </c>
      <c r="C40" s="210" t="s">
        <v>89</v>
      </c>
      <c r="D40" s="397" t="s">
        <v>147</v>
      </c>
      <c r="E40" s="266"/>
      <c r="F40" s="271"/>
      <c r="G40" s="272"/>
      <c r="H40" s="273"/>
      <c r="I40" s="280">
        <v>38</v>
      </c>
      <c r="J40" s="281">
        <v>44.08</v>
      </c>
      <c r="K40" s="282"/>
      <c r="L40" s="274"/>
      <c r="M40" s="272"/>
      <c r="N40" s="273"/>
      <c r="O40" s="271"/>
      <c r="P40" s="268"/>
      <c r="Q40" s="275"/>
      <c r="R40" s="271"/>
      <c r="S40" s="270"/>
      <c r="T40" s="275"/>
      <c r="U40" s="271"/>
      <c r="V40" s="306"/>
      <c r="W40" s="279"/>
      <c r="X40" s="277"/>
      <c r="Y40" s="278"/>
      <c r="Z40" s="279"/>
      <c r="AA40" s="280"/>
      <c r="AB40" s="306"/>
      <c r="AC40" s="404"/>
      <c r="AD40" s="277"/>
      <c r="AE40" s="306"/>
      <c r="AF40" s="279"/>
      <c r="AG40" s="280"/>
      <c r="AH40" s="306"/>
      <c r="AI40" s="279"/>
      <c r="AJ40" s="277"/>
      <c r="AK40" s="306"/>
      <c r="AL40" s="279"/>
      <c r="AM40" s="280"/>
      <c r="AN40" s="306"/>
      <c r="AO40" s="274">
        <f t="shared" si="4"/>
        <v>38</v>
      </c>
      <c r="AP40" s="405">
        <f t="shared" si="4"/>
        <v>44.08</v>
      </c>
    </row>
    <row r="41" spans="1:42" ht="18.75" customHeight="1" thickBot="1">
      <c r="A41" s="406"/>
      <c r="B41" s="377" t="s">
        <v>5</v>
      </c>
      <c r="C41" s="377"/>
      <c r="D41" s="407"/>
      <c r="E41" s="408"/>
      <c r="F41" s="314">
        <f>F34+F35+F36+F37+F38+F39+F40</f>
        <v>1690</v>
      </c>
      <c r="G41" s="315">
        <f aca="true" t="shared" si="5" ref="G41:AO41">G34+G35+G36+G37+G38+G39+G40</f>
        <v>1696.17</v>
      </c>
      <c r="H41" s="316"/>
      <c r="I41" s="314">
        <f t="shared" si="5"/>
        <v>1891</v>
      </c>
      <c r="J41" s="315">
        <f t="shared" si="5"/>
        <v>1857.0699999999997</v>
      </c>
      <c r="K41" s="409"/>
      <c r="L41" s="383">
        <f>L34+L35+L36+L37+L38+L39+L40</f>
        <v>1647</v>
      </c>
      <c r="M41" s="389">
        <f t="shared" si="5"/>
        <v>1670.1999999999998</v>
      </c>
      <c r="N41" s="409"/>
      <c r="O41" s="314">
        <f t="shared" si="5"/>
        <v>1391</v>
      </c>
      <c r="P41" s="315">
        <f t="shared" si="5"/>
        <v>1509.6999999999998</v>
      </c>
      <c r="Q41" s="316"/>
      <c r="R41" s="314">
        <f t="shared" si="5"/>
        <v>1127</v>
      </c>
      <c r="S41" s="319">
        <f t="shared" si="5"/>
        <v>1416.3</v>
      </c>
      <c r="T41" s="2"/>
      <c r="U41" s="314">
        <f t="shared" si="5"/>
        <v>671</v>
      </c>
      <c r="V41" s="318">
        <f t="shared" si="5"/>
        <v>1072.09</v>
      </c>
      <c r="W41" s="2"/>
      <c r="X41" s="317">
        <f t="shared" si="5"/>
        <v>1209</v>
      </c>
      <c r="Y41" s="319">
        <f t="shared" si="5"/>
        <v>1475.4899999999998</v>
      </c>
      <c r="Z41" s="2"/>
      <c r="AA41" s="314">
        <f t="shared" si="5"/>
        <v>918</v>
      </c>
      <c r="AB41" s="319">
        <f t="shared" si="5"/>
        <v>1257.7399999999998</v>
      </c>
      <c r="AC41" s="410"/>
      <c r="AD41" s="317">
        <f t="shared" si="5"/>
        <v>1853</v>
      </c>
      <c r="AE41" s="318">
        <f t="shared" si="5"/>
        <v>1938.3</v>
      </c>
      <c r="AF41" s="2"/>
      <c r="AG41" s="314">
        <f t="shared" si="5"/>
        <v>1382</v>
      </c>
      <c r="AH41" s="318">
        <f t="shared" si="5"/>
        <v>1599.1299999999999</v>
      </c>
      <c r="AI41" s="2"/>
      <c r="AJ41" s="314">
        <f t="shared" si="5"/>
        <v>1723</v>
      </c>
      <c r="AK41" s="318">
        <f t="shared" si="5"/>
        <v>1854.73</v>
      </c>
      <c r="AL41" s="2"/>
      <c r="AM41" s="314">
        <f t="shared" si="5"/>
        <v>1808</v>
      </c>
      <c r="AN41" s="319">
        <f t="shared" si="5"/>
        <v>1924.57</v>
      </c>
      <c r="AO41" s="314">
        <f t="shared" si="5"/>
        <v>17310</v>
      </c>
      <c r="AP41" s="411">
        <f>SUM(AP34:AP40)</f>
        <v>19271.49</v>
      </c>
    </row>
    <row r="42" spans="1:47" ht="29.25" customHeight="1" thickBot="1">
      <c r="A42" s="412"/>
      <c r="B42" s="413" t="s">
        <v>148</v>
      </c>
      <c r="C42" s="413"/>
      <c r="D42" s="414"/>
      <c r="E42" s="415"/>
      <c r="F42" s="416">
        <f aca="true" t="shared" si="6" ref="F42:AN42">F41+F25+F32</f>
        <v>1415170</v>
      </c>
      <c r="G42" s="417">
        <f t="shared" si="6"/>
        <v>1926133.1800000002</v>
      </c>
      <c r="H42" s="418"/>
      <c r="I42" s="419">
        <f t="shared" si="6"/>
        <v>1537028</v>
      </c>
      <c r="J42" s="420">
        <f t="shared" si="6"/>
        <v>1974721.74</v>
      </c>
      <c r="K42" s="421"/>
      <c r="L42" s="422">
        <f t="shared" si="6"/>
        <v>1543568</v>
      </c>
      <c r="M42" s="420">
        <f t="shared" si="6"/>
        <v>1946239.14</v>
      </c>
      <c r="N42" s="423"/>
      <c r="O42" s="419">
        <f t="shared" si="6"/>
        <v>1527089</v>
      </c>
      <c r="P42" s="420">
        <f t="shared" si="6"/>
        <v>2015900.56</v>
      </c>
      <c r="Q42" s="424"/>
      <c r="R42" s="416">
        <f t="shared" si="6"/>
        <v>1153313</v>
      </c>
      <c r="S42" s="417">
        <f t="shared" si="6"/>
        <v>1609805.4800000002</v>
      </c>
      <c r="T42" s="423"/>
      <c r="U42" s="422">
        <f t="shared" si="6"/>
        <v>1366283</v>
      </c>
      <c r="V42" s="420">
        <f t="shared" si="6"/>
        <v>1782479.7800000003</v>
      </c>
      <c r="W42" s="424"/>
      <c r="X42" s="423">
        <f t="shared" si="6"/>
        <v>1420403</v>
      </c>
      <c r="Y42" s="4">
        <f t="shared" si="6"/>
        <v>1735536.5799999998</v>
      </c>
      <c r="Z42" s="423"/>
      <c r="AA42" s="419">
        <f t="shared" si="6"/>
        <v>331556</v>
      </c>
      <c r="AB42" s="425">
        <f t="shared" si="6"/>
        <v>1707868.51</v>
      </c>
      <c r="AC42" s="4"/>
      <c r="AD42" s="416">
        <f t="shared" si="6"/>
        <v>1312481</v>
      </c>
      <c r="AE42" s="417">
        <f t="shared" si="6"/>
        <v>1713893.5499999998</v>
      </c>
      <c r="AF42" s="418"/>
      <c r="AG42" s="419">
        <f t="shared" si="6"/>
        <v>1344152</v>
      </c>
      <c r="AH42" s="420">
        <f t="shared" si="6"/>
        <v>1779218.5399999996</v>
      </c>
      <c r="AI42" s="424"/>
      <c r="AJ42" s="416">
        <f t="shared" si="6"/>
        <v>1464337</v>
      </c>
      <c r="AK42" s="417">
        <f t="shared" si="6"/>
        <v>1795442.05</v>
      </c>
      <c r="AL42" s="424"/>
      <c r="AM42" s="419">
        <f t="shared" si="6"/>
        <v>1515479</v>
      </c>
      <c r="AN42" s="425">
        <f t="shared" si="6"/>
        <v>1901559.94</v>
      </c>
      <c r="AO42" s="422">
        <f>AO41+AO25+AK49</f>
        <v>15702503</v>
      </c>
      <c r="AP42" s="425">
        <f>AP41+AP25+AM49</f>
        <v>21677036.87</v>
      </c>
      <c r="AQ42" s="324"/>
      <c r="AR42" s="324"/>
      <c r="AS42" s="324"/>
      <c r="AT42" s="324"/>
      <c r="AU42" s="324"/>
    </row>
    <row r="43" spans="1:62" s="17" customFormat="1" ht="38.25" customHeight="1">
      <c r="A43" s="426"/>
      <c r="B43" s="427" t="s">
        <v>149</v>
      </c>
      <c r="C43" s="428"/>
      <c r="D43" s="429"/>
      <c r="E43" s="430"/>
      <c r="F43" s="431"/>
      <c r="G43" s="432">
        <f>G44+G45+G46</f>
        <v>1875495</v>
      </c>
      <c r="H43" s="430"/>
      <c r="I43" s="433"/>
      <c r="J43" s="432">
        <f>J44+J45+J46</f>
        <v>1912488</v>
      </c>
      <c r="K43" s="430"/>
      <c r="L43" s="429"/>
      <c r="M43" s="432">
        <f>M44+M45+M46</f>
        <v>1870557</v>
      </c>
      <c r="N43" s="430"/>
      <c r="O43" s="429"/>
      <c r="P43" s="432">
        <f>P44+P45+P46</f>
        <v>1952101</v>
      </c>
      <c r="Q43" s="430"/>
      <c r="R43" s="429"/>
      <c r="S43" s="432">
        <f>S44+S45+S46</f>
        <v>1579552</v>
      </c>
      <c r="T43" s="430"/>
      <c r="U43" s="433"/>
      <c r="V43" s="432">
        <f>V44+V45+V46</f>
        <v>1731874</v>
      </c>
      <c r="W43" s="430"/>
      <c r="X43" s="430"/>
      <c r="Y43" s="429">
        <f>Y44+Y45+Y46</f>
        <v>1687901</v>
      </c>
      <c r="Z43" s="430"/>
      <c r="AA43" s="429"/>
      <c r="AB43" s="434">
        <f>AB44+AB45+AB46</f>
        <v>1660936</v>
      </c>
      <c r="AC43" s="429"/>
      <c r="AD43" s="433"/>
      <c r="AE43" s="432">
        <f>AE44+AE45+AE46</f>
        <v>1659873</v>
      </c>
      <c r="AF43" s="430"/>
      <c r="AG43" s="429"/>
      <c r="AH43" s="432">
        <f>AH44+AH45+AH46</f>
        <v>1705303</v>
      </c>
      <c r="AI43" s="430"/>
      <c r="AJ43" s="435"/>
      <c r="AK43" s="432">
        <f>AK44+AK45+AK46</f>
        <v>1777692</v>
      </c>
      <c r="AL43" s="430"/>
      <c r="AM43" s="429"/>
      <c r="AN43" s="436">
        <f>AN44+AN45+AN46</f>
        <v>1832910</v>
      </c>
      <c r="AO43" s="436">
        <f aca="true" t="shared" si="7" ref="AO43:AO48">AN43+AK43+AH43+AE43+AB43+Y43+V43+S43+P43+M43+J43+G43</f>
        <v>21246682</v>
      </c>
      <c r="AP43" s="434">
        <f aca="true" t="shared" si="8" ref="AP43:AP48">AO43+AM43+AJ43+AG43+AD43+AA43+X43+U43+R43+O43+L43+I43</f>
        <v>21246682</v>
      </c>
      <c r="AQ43" s="437"/>
      <c r="AR43" s="437"/>
      <c r="AS43" s="437"/>
      <c r="AT43" s="437"/>
      <c r="AU43" s="437"/>
      <c r="AV43" s="438"/>
      <c r="AW43" s="438"/>
      <c r="AX43" s="94"/>
      <c r="AY43" s="94"/>
      <c r="AZ43" s="94"/>
      <c r="BA43" s="94"/>
      <c r="BB43" s="94"/>
      <c r="BC43" s="439"/>
      <c r="BD43" s="439"/>
      <c r="BE43" s="439"/>
      <c r="BF43" s="439"/>
      <c r="BG43" s="439"/>
      <c r="BH43" s="439"/>
      <c r="BI43" s="439"/>
      <c r="BJ43" s="439"/>
    </row>
    <row r="44" spans="1:62" ht="27" customHeight="1">
      <c r="A44" s="440"/>
      <c r="B44" s="441" t="s">
        <v>150</v>
      </c>
      <c r="C44" s="442"/>
      <c r="D44" s="443"/>
      <c r="E44" s="444"/>
      <c r="F44" s="445"/>
      <c r="G44" s="446">
        <v>1865367</v>
      </c>
      <c r="H44" s="447"/>
      <c r="I44" s="445"/>
      <c r="J44" s="446">
        <v>1901842</v>
      </c>
      <c r="K44" s="447"/>
      <c r="L44" s="448"/>
      <c r="M44" s="446">
        <v>1861074</v>
      </c>
      <c r="N44" s="447"/>
      <c r="O44" s="448"/>
      <c r="P44" s="446">
        <v>1943031</v>
      </c>
      <c r="Q44" s="447"/>
      <c r="R44" s="448"/>
      <c r="S44" s="446">
        <v>1572661</v>
      </c>
      <c r="T44" s="444"/>
      <c r="U44" s="449"/>
      <c r="V44" s="450">
        <v>1725303</v>
      </c>
      <c r="W44" s="444"/>
      <c r="X44" s="444"/>
      <c r="Y44" s="443">
        <v>1681696</v>
      </c>
      <c r="Z44" s="444"/>
      <c r="AA44" s="451"/>
      <c r="AB44" s="452">
        <v>1654458</v>
      </c>
      <c r="AC44" s="443"/>
      <c r="AD44" s="449">
        <v>1301879</v>
      </c>
      <c r="AE44" s="450">
        <v>1652426</v>
      </c>
      <c r="AF44" s="444"/>
      <c r="AG44" s="451"/>
      <c r="AH44" s="450">
        <v>1697208</v>
      </c>
      <c r="AI44" s="444"/>
      <c r="AJ44" s="453"/>
      <c r="AK44" s="450">
        <v>1768381</v>
      </c>
      <c r="AL44" s="444"/>
      <c r="AM44" s="443"/>
      <c r="AN44" s="454">
        <v>1823253</v>
      </c>
      <c r="AO44" s="454">
        <f t="shared" si="7"/>
        <v>21146700</v>
      </c>
      <c r="AP44" s="455">
        <f t="shared" si="8"/>
        <v>22448579</v>
      </c>
      <c r="AQ44" s="456"/>
      <c r="AR44" s="456"/>
      <c r="AS44" s="456"/>
      <c r="AT44" s="456"/>
      <c r="AU44" s="456"/>
      <c r="AV44" s="457"/>
      <c r="AW44" s="457"/>
      <c r="AX44" s="458"/>
      <c r="AY44" s="458"/>
      <c r="AZ44" s="458"/>
      <c r="BA44" s="458"/>
      <c r="BB44" s="458"/>
      <c r="BC44" s="459"/>
      <c r="BD44" s="459"/>
      <c r="BE44" s="459"/>
      <c r="BF44" s="459"/>
      <c r="BG44" s="459"/>
      <c r="BH44" s="459"/>
      <c r="BI44" s="459"/>
      <c r="BJ44" s="459"/>
    </row>
    <row r="45" spans="1:62" ht="27" customHeight="1">
      <c r="A45" s="440"/>
      <c r="B45" s="441" t="s">
        <v>151</v>
      </c>
      <c r="C45" s="442"/>
      <c r="D45" s="443"/>
      <c r="E45" s="444"/>
      <c r="F45" s="445"/>
      <c r="G45" s="446">
        <v>8468</v>
      </c>
      <c r="H45" s="447"/>
      <c r="I45" s="445"/>
      <c r="J45" s="446">
        <v>8821</v>
      </c>
      <c r="K45" s="447"/>
      <c r="L45" s="448"/>
      <c r="M45" s="446">
        <v>7841</v>
      </c>
      <c r="N45" s="447"/>
      <c r="O45" s="448"/>
      <c r="P45" s="446">
        <v>7581</v>
      </c>
      <c r="Q45" s="447"/>
      <c r="R45" s="448"/>
      <c r="S45" s="446">
        <v>5489</v>
      </c>
      <c r="T45" s="444"/>
      <c r="U45" s="449"/>
      <c r="V45" s="450">
        <v>5502</v>
      </c>
      <c r="W45" s="444"/>
      <c r="X45" s="444"/>
      <c r="Y45" s="443">
        <v>4743</v>
      </c>
      <c r="Z45" s="444"/>
      <c r="AA45" s="451"/>
      <c r="AB45" s="452">
        <v>5228</v>
      </c>
      <c r="AC45" s="443"/>
      <c r="AD45" s="449">
        <v>8749</v>
      </c>
      <c r="AE45" s="450">
        <v>5523</v>
      </c>
      <c r="AF45" s="444"/>
      <c r="AG45" s="451"/>
      <c r="AH45" s="450">
        <v>6514</v>
      </c>
      <c r="AI45" s="444"/>
      <c r="AJ45" s="453"/>
      <c r="AK45" s="450">
        <v>7485</v>
      </c>
      <c r="AL45" s="444"/>
      <c r="AM45" s="443"/>
      <c r="AN45" s="454">
        <v>7769</v>
      </c>
      <c r="AO45" s="454">
        <f t="shared" si="7"/>
        <v>80964</v>
      </c>
      <c r="AP45" s="455">
        <f t="shared" si="8"/>
        <v>89713</v>
      </c>
      <c r="AQ45" s="456"/>
      <c r="AR45" s="456"/>
      <c r="AS45" s="456"/>
      <c r="AT45" s="456"/>
      <c r="AU45" s="456"/>
      <c r="AV45" s="457"/>
      <c r="AW45" s="457"/>
      <c r="AX45" s="458"/>
      <c r="AY45" s="458"/>
      <c r="AZ45" s="458"/>
      <c r="BA45" s="458"/>
      <c r="BB45" s="458"/>
      <c r="BC45" s="459"/>
      <c r="BD45" s="459"/>
      <c r="BE45" s="459"/>
      <c r="BF45" s="459"/>
      <c r="BG45" s="459"/>
      <c r="BH45" s="459"/>
      <c r="BI45" s="459"/>
      <c r="BJ45" s="459"/>
    </row>
    <row r="46" spans="1:62" ht="27" customHeight="1" thickBot="1">
      <c r="A46" s="460"/>
      <c r="B46" s="461" t="s">
        <v>152</v>
      </c>
      <c r="C46" s="462"/>
      <c r="D46" s="463"/>
      <c r="E46" s="464"/>
      <c r="F46" s="465"/>
      <c r="G46" s="466">
        <v>1660</v>
      </c>
      <c r="H46" s="467"/>
      <c r="I46" s="465"/>
      <c r="J46" s="466">
        <v>1825</v>
      </c>
      <c r="K46" s="467"/>
      <c r="L46" s="468"/>
      <c r="M46" s="466">
        <v>1642</v>
      </c>
      <c r="N46" s="467"/>
      <c r="O46" s="468"/>
      <c r="P46" s="466">
        <v>1489</v>
      </c>
      <c r="Q46" s="467"/>
      <c r="R46" s="468"/>
      <c r="S46" s="466">
        <v>1402</v>
      </c>
      <c r="T46" s="469"/>
      <c r="U46" s="470"/>
      <c r="V46" s="471">
        <v>1069</v>
      </c>
      <c r="W46" s="464"/>
      <c r="X46" s="464"/>
      <c r="Y46" s="463">
        <v>1462</v>
      </c>
      <c r="Z46" s="464"/>
      <c r="AA46" s="472"/>
      <c r="AB46" s="473">
        <v>1250</v>
      </c>
      <c r="AC46" s="463"/>
      <c r="AD46" s="474">
        <v>1853</v>
      </c>
      <c r="AE46" s="475">
        <v>1924</v>
      </c>
      <c r="AF46" s="464"/>
      <c r="AG46" s="472"/>
      <c r="AH46" s="475">
        <v>1581</v>
      </c>
      <c r="AI46" s="464"/>
      <c r="AJ46" s="476"/>
      <c r="AK46" s="475">
        <v>1826</v>
      </c>
      <c r="AL46" s="464"/>
      <c r="AM46" s="463"/>
      <c r="AN46" s="454">
        <v>1888</v>
      </c>
      <c r="AO46" s="454">
        <f t="shared" si="7"/>
        <v>19018</v>
      </c>
      <c r="AP46" s="477">
        <f t="shared" si="8"/>
        <v>20871</v>
      </c>
      <c r="AQ46" s="456"/>
      <c r="AR46" s="456"/>
      <c r="AS46" s="456"/>
      <c r="AT46" s="456"/>
      <c r="AU46" s="456"/>
      <c r="AV46" s="457"/>
      <c r="AW46" s="457"/>
      <c r="AX46" s="458"/>
      <c r="AY46" s="458"/>
      <c r="AZ46" s="458"/>
      <c r="BA46" s="458"/>
      <c r="BB46" s="458"/>
      <c r="BC46" s="459"/>
      <c r="BD46" s="459"/>
      <c r="BE46" s="459"/>
      <c r="BF46" s="459"/>
      <c r="BG46" s="459"/>
      <c r="BH46" s="459"/>
      <c r="BI46" s="459"/>
      <c r="BJ46" s="459"/>
    </row>
    <row r="47" spans="1:105" ht="26.25" customHeight="1" thickBot="1">
      <c r="A47" s="478"/>
      <c r="B47" s="479"/>
      <c r="C47" s="480"/>
      <c r="D47" s="481"/>
      <c r="E47" s="482"/>
      <c r="F47" s="483"/>
      <c r="G47" s="484">
        <f>G42-G43</f>
        <v>50638.18000000017</v>
      </c>
      <c r="H47" s="482"/>
      <c r="I47" s="485"/>
      <c r="J47" s="484">
        <f>J42-J43</f>
        <v>62233.73999999999</v>
      </c>
      <c r="K47" s="486"/>
      <c r="L47" s="487"/>
      <c r="M47" s="488">
        <f>M42-M43</f>
        <v>75682.1399999999</v>
      </c>
      <c r="N47" s="482"/>
      <c r="O47" s="487"/>
      <c r="P47" s="488">
        <f>P42-P43</f>
        <v>63799.560000000056</v>
      </c>
      <c r="Q47" s="486"/>
      <c r="R47" s="487"/>
      <c r="S47" s="488">
        <f>S42-S43</f>
        <v>30253.480000000214</v>
      </c>
      <c r="T47" s="486"/>
      <c r="U47" s="485"/>
      <c r="V47" s="484">
        <f>V42-V43</f>
        <v>50605.78000000026</v>
      </c>
      <c r="W47" s="482"/>
      <c r="X47" s="482"/>
      <c r="Y47" s="481">
        <f>Y42-Y43</f>
        <v>47635.57999999984</v>
      </c>
      <c r="Z47" s="482"/>
      <c r="AA47" s="489"/>
      <c r="AB47" s="484">
        <f>AB42-AB43</f>
        <v>46932.51000000001</v>
      </c>
      <c r="AC47" s="481"/>
      <c r="AD47" s="483"/>
      <c r="AE47" s="484">
        <f>AE42-AE43</f>
        <v>54020.549999999814</v>
      </c>
      <c r="AF47" s="482"/>
      <c r="AG47" s="489"/>
      <c r="AH47" s="484">
        <f>AH42-AH43</f>
        <v>73915.53999999957</v>
      </c>
      <c r="AI47" s="482"/>
      <c r="AJ47" s="481"/>
      <c r="AK47" s="484">
        <f>AK42-AK43</f>
        <v>17750.050000000047</v>
      </c>
      <c r="AL47" s="482"/>
      <c r="AM47" s="481"/>
      <c r="AN47" s="490">
        <f>AN42-AN43</f>
        <v>68649.93999999994</v>
      </c>
      <c r="AO47" s="491">
        <f t="shared" si="7"/>
        <v>642117.0499999998</v>
      </c>
      <c r="AP47" s="492">
        <f t="shared" si="8"/>
        <v>642117.0499999998</v>
      </c>
      <c r="AQ47" s="493"/>
      <c r="AR47" s="493"/>
      <c r="AS47" s="493"/>
      <c r="AT47" s="493"/>
      <c r="AU47" s="493"/>
      <c r="AV47" s="494"/>
      <c r="AW47" s="494"/>
      <c r="AX47" s="495"/>
      <c r="AY47" s="495"/>
      <c r="AZ47" s="495"/>
      <c r="BA47" s="495"/>
      <c r="BB47" s="495"/>
      <c r="BC47" s="496"/>
      <c r="BD47" s="496"/>
      <c r="BE47" s="496"/>
      <c r="BF47" s="496"/>
      <c r="BG47" s="496"/>
      <c r="BH47" s="496"/>
      <c r="BI47" s="496"/>
      <c r="BJ47" s="496"/>
      <c r="BK47" s="497"/>
      <c r="BL47" s="497"/>
      <c r="BM47" s="497"/>
      <c r="BN47" s="497"/>
      <c r="BO47" s="497"/>
      <c r="BP47" s="497"/>
      <c r="BQ47" s="497"/>
      <c r="BR47" s="497"/>
      <c r="BS47" s="497"/>
      <c r="BT47" s="497"/>
      <c r="BU47" s="497"/>
      <c r="BV47" s="497"/>
      <c r="BW47" s="497"/>
      <c r="BX47" s="497"/>
      <c r="BY47" s="497"/>
      <c r="BZ47" s="497"/>
      <c r="CA47" s="497"/>
      <c r="CB47" s="497"/>
      <c r="CC47" s="497"/>
      <c r="CD47" s="497"/>
      <c r="CE47" s="497"/>
      <c r="CF47" s="497"/>
      <c r="CG47" s="497"/>
      <c r="CH47" s="497"/>
      <c r="CI47" s="497"/>
      <c r="CJ47" s="497"/>
      <c r="CK47" s="497"/>
      <c r="CL47" s="497"/>
      <c r="CM47" s="497"/>
      <c r="CN47" s="497"/>
      <c r="CO47" s="497"/>
      <c r="CP47" s="497"/>
      <c r="CQ47" s="497"/>
      <c r="CR47" s="497"/>
      <c r="CS47" s="497"/>
      <c r="CT47" s="497"/>
      <c r="CU47" s="497"/>
      <c r="CV47" s="497"/>
      <c r="CW47" s="497"/>
      <c r="CX47" s="497"/>
      <c r="CY47" s="497"/>
      <c r="CZ47" s="497"/>
      <c r="DA47" s="497"/>
    </row>
    <row r="48" spans="1:62" ht="13.5" thickBot="1">
      <c r="A48" s="498"/>
      <c r="B48" s="499"/>
      <c r="C48" s="500"/>
      <c r="D48" s="501"/>
      <c r="E48" s="469"/>
      <c r="F48" s="470"/>
      <c r="G48" s="471"/>
      <c r="H48" s="469"/>
      <c r="I48" s="470"/>
      <c r="J48" s="471"/>
      <c r="K48" s="469"/>
      <c r="L48" s="502"/>
      <c r="M48" s="503"/>
      <c r="N48" s="504"/>
      <c r="O48" s="505"/>
      <c r="P48" s="503"/>
      <c r="Q48" s="504"/>
      <c r="R48" s="502"/>
      <c r="S48" s="503"/>
      <c r="T48" s="504"/>
      <c r="U48" s="505"/>
      <c r="V48" s="503"/>
      <c r="W48" s="469"/>
      <c r="X48" s="469"/>
      <c r="Y48" s="501"/>
      <c r="Z48" s="469"/>
      <c r="AA48" s="506"/>
      <c r="AB48" s="507"/>
      <c r="AC48" s="507"/>
      <c r="AD48" s="507"/>
      <c r="AE48" s="507"/>
      <c r="AF48" s="507"/>
      <c r="AG48" s="507"/>
      <c r="AH48" s="471"/>
      <c r="AI48" s="469"/>
      <c r="AJ48" s="506"/>
      <c r="AK48" s="471"/>
      <c r="AL48" s="469"/>
      <c r="AM48" s="506"/>
      <c r="AN48" s="471"/>
      <c r="AO48" s="505">
        <f t="shared" si="7"/>
        <v>0</v>
      </c>
      <c r="AP48" s="508">
        <f t="shared" si="8"/>
        <v>0</v>
      </c>
      <c r="AQ48" s="456"/>
      <c r="AR48" s="456"/>
      <c r="AS48" s="456"/>
      <c r="AT48" s="456"/>
      <c r="AU48" s="456"/>
      <c r="AV48" s="457"/>
      <c r="AW48" s="457"/>
      <c r="AX48" s="458"/>
      <c r="AY48" s="458"/>
      <c r="AZ48" s="458"/>
      <c r="BA48" s="458"/>
      <c r="BB48" s="458"/>
      <c r="BC48" s="459"/>
      <c r="BD48" s="459"/>
      <c r="BE48" s="459"/>
      <c r="BF48" s="459"/>
      <c r="BG48" s="459"/>
      <c r="BH48" s="459"/>
      <c r="BI48" s="459"/>
      <c r="BJ48" s="459"/>
    </row>
    <row r="49" spans="1:62" ht="12.75">
      <c r="A49" s="226"/>
      <c r="B49" s="458"/>
      <c r="C49" s="458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09"/>
      <c r="AF49" s="509"/>
      <c r="AG49" s="509"/>
      <c r="AH49" s="509"/>
      <c r="AI49" s="509"/>
      <c r="AJ49" s="509"/>
      <c r="AK49" s="509"/>
      <c r="AL49" s="509"/>
      <c r="AM49" s="509"/>
      <c r="AN49" s="509"/>
      <c r="AO49" s="509"/>
      <c r="AP49" s="509"/>
      <c r="AQ49" s="509"/>
      <c r="AR49" s="509"/>
      <c r="AS49" s="509"/>
      <c r="AT49" s="509"/>
      <c r="AU49" s="509"/>
      <c r="AV49" s="458"/>
      <c r="AW49" s="458"/>
      <c r="AX49" s="458"/>
      <c r="AY49" s="458"/>
      <c r="AZ49" s="458"/>
      <c r="BA49" s="458"/>
      <c r="BB49" s="458"/>
      <c r="BC49" s="226"/>
      <c r="BD49" s="226"/>
      <c r="BE49" s="226"/>
      <c r="BF49" s="226"/>
      <c r="BG49" s="226"/>
      <c r="BH49" s="226"/>
      <c r="BI49" s="226"/>
      <c r="BJ49" s="226"/>
    </row>
    <row r="50" spans="1:62" ht="12.75">
      <c r="A50" s="226"/>
      <c r="B50" s="226"/>
      <c r="C50" s="226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</row>
    <row r="51" spans="1:62" ht="12.75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</row>
    <row r="52" spans="1:62" ht="12.75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</row>
    <row r="53" spans="1:62" ht="12.75">
      <c r="A53" s="226"/>
      <c r="B53" s="226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</row>
    <row r="54" spans="1:62" ht="12.75">
      <c r="A54" s="226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</row>
    <row r="55" spans="1:62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</row>
    <row r="56" spans="1:62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</row>
    <row r="57" spans="1:62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</row>
    <row r="58" spans="1:62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</row>
    <row r="59" spans="1:62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</row>
    <row r="60" spans="1:62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</row>
    <row r="61" spans="1:62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</row>
    <row r="62" spans="1:62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</row>
    <row r="63" spans="1:62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</row>
    <row r="64" spans="1:62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</row>
    <row r="65" spans="1:62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</row>
  </sheetData>
  <sheetProtection/>
  <mergeCells count="22">
    <mergeCell ref="A27:A28"/>
    <mergeCell ref="B33:AP33"/>
    <mergeCell ref="T2:V2"/>
    <mergeCell ref="W2:Y2"/>
    <mergeCell ref="Z2:AB2"/>
    <mergeCell ref="AC2:AE2"/>
    <mergeCell ref="H2:J2"/>
    <mergeCell ref="K2:M2"/>
    <mergeCell ref="AL2:AN2"/>
    <mergeCell ref="AO2:AP2"/>
    <mergeCell ref="B4:AP4"/>
    <mergeCell ref="B26:AP26"/>
    <mergeCell ref="N2:P2"/>
    <mergeCell ref="Q2:S2"/>
    <mergeCell ref="AF2:AH2"/>
    <mergeCell ref="AI2:AK2"/>
    <mergeCell ref="A1:R1"/>
    <mergeCell ref="A2:A3"/>
    <mergeCell ref="B2:B3"/>
    <mergeCell ref="C2:C3"/>
    <mergeCell ref="D2:D3"/>
    <mergeCell ref="E2:G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W63"/>
  <sheetViews>
    <sheetView tabSelected="1" zoomScalePageLayoutView="0" workbookViewId="0" topLeftCell="A1">
      <pane xSplit="2" ySplit="4" topLeftCell="N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41" sqref="R41"/>
    </sheetView>
  </sheetViews>
  <sheetFormatPr defaultColWidth="9.00390625" defaultRowHeight="12.75"/>
  <cols>
    <col min="1" max="1" width="4.625" style="17" customWidth="1"/>
    <col min="2" max="2" width="42.375" style="17" customWidth="1"/>
    <col min="3" max="3" width="15.25390625" style="17" customWidth="1"/>
    <col min="4" max="4" width="13.125" style="17" customWidth="1"/>
    <col min="5" max="5" width="14.00390625" style="17" customWidth="1"/>
    <col min="6" max="6" width="13.875" style="17" customWidth="1"/>
    <col min="7" max="9" width="12.875" style="17" customWidth="1"/>
    <col min="10" max="10" width="14.125" style="17" customWidth="1"/>
    <col min="11" max="11" width="13.25390625" style="17" customWidth="1"/>
    <col min="12" max="12" width="13.00390625" style="17" customWidth="1"/>
    <col min="13" max="13" width="13.2539062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6384" width="9.125" style="17" customWidth="1"/>
  </cols>
  <sheetData>
    <row r="1" spans="1:6" ht="60" customHeight="1" thickBot="1">
      <c r="A1" s="826" t="s">
        <v>206</v>
      </c>
      <c r="B1" s="827"/>
      <c r="C1" s="827"/>
      <c r="D1" s="827"/>
      <c r="E1" s="827"/>
      <c r="F1" s="827"/>
    </row>
    <row r="2" spans="1:16" ht="20.25" customHeight="1" thickBot="1">
      <c r="A2" s="822" t="s">
        <v>0</v>
      </c>
      <c r="B2" s="822" t="s">
        <v>1</v>
      </c>
      <c r="C2" s="822" t="s">
        <v>76</v>
      </c>
      <c r="D2" s="18" t="s">
        <v>3</v>
      </c>
      <c r="E2" s="18" t="s">
        <v>6</v>
      </c>
      <c r="F2" s="19" t="s">
        <v>7</v>
      </c>
      <c r="G2" s="18" t="s">
        <v>8</v>
      </c>
      <c r="H2" s="18" t="s">
        <v>9</v>
      </c>
      <c r="I2" s="18" t="s">
        <v>10</v>
      </c>
      <c r="J2" s="772" t="s">
        <v>11</v>
      </c>
      <c r="K2" s="18" t="s">
        <v>12</v>
      </c>
      <c r="L2" s="18" t="s">
        <v>13</v>
      </c>
      <c r="M2" s="18" t="s">
        <v>14</v>
      </c>
      <c r="N2" s="18" t="s">
        <v>15</v>
      </c>
      <c r="O2" s="18" t="s">
        <v>16</v>
      </c>
      <c r="P2" s="626">
        <v>2014</v>
      </c>
    </row>
    <row r="3" spans="1:16" ht="24" customHeight="1" thickBot="1">
      <c r="A3" s="823"/>
      <c r="B3" s="823"/>
      <c r="C3" s="823"/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773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582" t="s">
        <v>4</v>
      </c>
    </row>
    <row r="4" spans="1:16" ht="9" customHeight="1" thickBot="1">
      <c r="A4" s="23"/>
      <c r="B4" s="796"/>
      <c r="C4" s="797"/>
      <c r="D4" s="797"/>
      <c r="E4" s="797"/>
      <c r="F4" s="797"/>
      <c r="J4" s="774"/>
      <c r="P4" s="657"/>
    </row>
    <row r="5" spans="1:16" s="121" customFormat="1" ht="24.75" customHeight="1" thickBot="1">
      <c r="A5" s="756">
        <v>1</v>
      </c>
      <c r="B5" s="744" t="s">
        <v>210</v>
      </c>
      <c r="C5" s="744" t="s">
        <v>70</v>
      </c>
      <c r="D5" s="737">
        <v>527</v>
      </c>
      <c r="E5" s="144">
        <v>1021</v>
      </c>
      <c r="F5" s="141">
        <v>519</v>
      </c>
      <c r="G5" s="144">
        <v>479</v>
      </c>
      <c r="H5" s="643">
        <v>155</v>
      </c>
      <c r="I5" s="627">
        <v>168</v>
      </c>
      <c r="J5" s="775">
        <v>156</v>
      </c>
      <c r="K5" s="781">
        <v>143</v>
      </c>
      <c r="L5" s="775">
        <v>191</v>
      </c>
      <c r="M5" s="627">
        <v>365</v>
      </c>
      <c r="N5" s="144">
        <v>577</v>
      </c>
      <c r="O5" s="649">
        <v>856</v>
      </c>
      <c r="P5" s="656">
        <f aca="true" t="shared" si="0" ref="P5:P42">SUM(D5+E5+F5+G5+H5+I5+J5+K5+L5+M5+N5+O5)</f>
        <v>5157</v>
      </c>
    </row>
    <row r="6" spans="1:16" s="121" customFormat="1" ht="24.75" customHeight="1">
      <c r="A6" s="751">
        <v>2</v>
      </c>
      <c r="B6" s="745" t="s">
        <v>196</v>
      </c>
      <c r="C6" s="745" t="s">
        <v>70</v>
      </c>
      <c r="D6" s="738">
        <v>1050</v>
      </c>
      <c r="E6" s="119">
        <v>1150</v>
      </c>
      <c r="F6" s="118">
        <v>850</v>
      </c>
      <c r="G6" s="119">
        <v>900</v>
      </c>
      <c r="H6" s="644">
        <v>400</v>
      </c>
      <c r="I6" s="628">
        <v>450</v>
      </c>
      <c r="J6" s="776">
        <v>450</v>
      </c>
      <c r="K6" s="782">
        <v>350</v>
      </c>
      <c r="L6" s="776">
        <v>750</v>
      </c>
      <c r="M6" s="628">
        <v>1500</v>
      </c>
      <c r="N6" s="119">
        <v>1200</v>
      </c>
      <c r="O6" s="629">
        <v>850</v>
      </c>
      <c r="P6" s="652">
        <f t="shared" si="0"/>
        <v>9900</v>
      </c>
    </row>
    <row r="7" spans="1:16" s="121" customFormat="1" ht="24.75" customHeight="1">
      <c r="A7" s="752">
        <v>3</v>
      </c>
      <c r="B7" s="745" t="s">
        <v>48</v>
      </c>
      <c r="C7" s="745" t="s">
        <v>70</v>
      </c>
      <c r="D7" s="738">
        <v>4219</v>
      </c>
      <c r="E7" s="119">
        <v>4371</v>
      </c>
      <c r="F7" s="118">
        <v>3346</v>
      </c>
      <c r="G7" s="119">
        <v>3707</v>
      </c>
      <c r="H7" s="644">
        <v>3991</v>
      </c>
      <c r="I7" s="628">
        <v>5571</v>
      </c>
      <c r="J7" s="776">
        <v>5386</v>
      </c>
      <c r="K7" s="782">
        <v>6075</v>
      </c>
      <c r="L7" s="776">
        <v>4103</v>
      </c>
      <c r="M7" s="628">
        <v>3170</v>
      </c>
      <c r="N7" s="119">
        <v>3524</v>
      </c>
      <c r="O7" s="629">
        <v>3533</v>
      </c>
      <c r="P7" s="652">
        <f t="shared" si="0"/>
        <v>50996</v>
      </c>
    </row>
    <row r="8" spans="1:16" s="121" customFormat="1" ht="24.75" customHeight="1">
      <c r="A8" s="753">
        <v>4</v>
      </c>
      <c r="B8" s="745" t="s">
        <v>36</v>
      </c>
      <c r="C8" s="745" t="s">
        <v>70</v>
      </c>
      <c r="D8" s="738">
        <v>1057</v>
      </c>
      <c r="E8" s="119">
        <v>1674</v>
      </c>
      <c r="F8" s="118">
        <v>848</v>
      </c>
      <c r="G8" s="119">
        <v>570</v>
      </c>
      <c r="H8" s="644">
        <v>360</v>
      </c>
      <c r="I8" s="628">
        <v>549</v>
      </c>
      <c r="J8" s="776">
        <v>492</v>
      </c>
      <c r="K8" s="782">
        <v>532</v>
      </c>
      <c r="L8" s="776">
        <v>484</v>
      </c>
      <c r="M8" s="628">
        <v>557</v>
      </c>
      <c r="N8" s="119">
        <v>1063</v>
      </c>
      <c r="O8" s="629">
        <v>1177</v>
      </c>
      <c r="P8" s="652">
        <f t="shared" si="0"/>
        <v>9363</v>
      </c>
    </row>
    <row r="9" spans="1:16" s="121" customFormat="1" ht="24.75" customHeight="1">
      <c r="A9" s="753">
        <v>5</v>
      </c>
      <c r="B9" s="745" t="s">
        <v>193</v>
      </c>
      <c r="C9" s="745" t="s">
        <v>71</v>
      </c>
      <c r="D9" s="738">
        <v>187856</v>
      </c>
      <c r="E9" s="119">
        <v>196680</v>
      </c>
      <c r="F9" s="118">
        <v>168787</v>
      </c>
      <c r="G9" s="119">
        <v>167118</v>
      </c>
      <c r="H9" s="644">
        <v>165746</v>
      </c>
      <c r="I9" s="628">
        <v>181011</v>
      </c>
      <c r="J9" s="776">
        <v>193652</v>
      </c>
      <c r="K9" s="782">
        <v>181401</v>
      </c>
      <c r="L9" s="776">
        <v>173562</v>
      </c>
      <c r="M9" s="628">
        <v>181426</v>
      </c>
      <c r="N9" s="119">
        <v>156033</v>
      </c>
      <c r="O9" s="629">
        <v>192863</v>
      </c>
      <c r="P9" s="652">
        <f t="shared" si="0"/>
        <v>2146135</v>
      </c>
    </row>
    <row r="10" spans="1:16" s="121" customFormat="1" ht="24.75" customHeight="1">
      <c r="A10" s="753">
        <v>6</v>
      </c>
      <c r="B10" s="745" t="s">
        <v>211</v>
      </c>
      <c r="C10" s="745" t="s">
        <v>70</v>
      </c>
      <c r="D10" s="738">
        <v>21425</v>
      </c>
      <c r="E10" s="119">
        <v>15539</v>
      </c>
      <c r="F10" s="118">
        <v>9412</v>
      </c>
      <c r="G10" s="119">
        <v>10813</v>
      </c>
      <c r="H10" s="644">
        <v>7812</v>
      </c>
      <c r="I10" s="628">
        <v>10173</v>
      </c>
      <c r="J10" s="776">
        <v>7331</v>
      </c>
      <c r="K10" s="782">
        <v>8612</v>
      </c>
      <c r="L10" s="776">
        <v>8732</v>
      </c>
      <c r="M10" s="628">
        <v>16459</v>
      </c>
      <c r="N10" s="119">
        <v>18341</v>
      </c>
      <c r="O10" s="629">
        <v>10693</v>
      </c>
      <c r="P10" s="652">
        <f t="shared" si="0"/>
        <v>145342</v>
      </c>
    </row>
    <row r="11" spans="1:16" s="121" customFormat="1" ht="24.75" customHeight="1">
      <c r="A11" s="753">
        <v>7</v>
      </c>
      <c r="B11" s="745" t="s">
        <v>19</v>
      </c>
      <c r="C11" s="745" t="s">
        <v>72</v>
      </c>
      <c r="D11" s="739"/>
      <c r="E11" s="638"/>
      <c r="F11" s="118">
        <v>1800</v>
      </c>
      <c r="G11" s="638"/>
      <c r="H11" s="645"/>
      <c r="I11" s="629">
        <v>1033</v>
      </c>
      <c r="J11" s="777"/>
      <c r="K11" s="783"/>
      <c r="L11" s="777"/>
      <c r="M11" s="629"/>
      <c r="N11" s="638"/>
      <c r="O11" s="629"/>
      <c r="P11" s="652">
        <f t="shared" si="0"/>
        <v>2833</v>
      </c>
    </row>
    <row r="12" spans="1:16" s="121" customFormat="1" ht="24.75" customHeight="1">
      <c r="A12" s="753">
        <v>8</v>
      </c>
      <c r="B12" s="745" t="s">
        <v>212</v>
      </c>
      <c r="C12" s="745" t="s">
        <v>70</v>
      </c>
      <c r="D12" s="739">
        <v>50</v>
      </c>
      <c r="E12" s="119">
        <v>130</v>
      </c>
      <c r="F12" s="118">
        <v>170</v>
      </c>
      <c r="G12" s="638">
        <v>310</v>
      </c>
      <c r="H12" s="645">
        <v>860</v>
      </c>
      <c r="I12" s="629">
        <v>1160</v>
      </c>
      <c r="J12" s="777">
        <v>970</v>
      </c>
      <c r="K12" s="783">
        <v>1320</v>
      </c>
      <c r="L12" s="777">
        <v>590</v>
      </c>
      <c r="M12" s="787">
        <v>850</v>
      </c>
      <c r="N12" s="638">
        <v>230</v>
      </c>
      <c r="O12" s="629">
        <v>120</v>
      </c>
      <c r="P12" s="652">
        <f t="shared" si="0"/>
        <v>6760</v>
      </c>
    </row>
    <row r="13" spans="1:16" s="121" customFormat="1" ht="24.75" customHeight="1">
      <c r="A13" s="753">
        <v>9</v>
      </c>
      <c r="B13" s="745" t="s">
        <v>20</v>
      </c>
      <c r="C13" s="745" t="s">
        <v>72</v>
      </c>
      <c r="D13" s="739"/>
      <c r="E13" s="638"/>
      <c r="F13" s="118">
        <v>109</v>
      </c>
      <c r="G13" s="638">
        <v>3173</v>
      </c>
      <c r="H13" s="645"/>
      <c r="I13" s="629">
        <v>1016</v>
      </c>
      <c r="J13" s="777"/>
      <c r="K13" s="783"/>
      <c r="L13" s="777">
        <v>1159</v>
      </c>
      <c r="M13" s="629"/>
      <c r="N13" s="638"/>
      <c r="O13" s="629">
        <v>1660</v>
      </c>
      <c r="P13" s="652">
        <f t="shared" si="0"/>
        <v>7117</v>
      </c>
    </row>
    <row r="14" spans="1:16" s="121" customFormat="1" ht="24.75" customHeight="1">
      <c r="A14" s="753">
        <v>10</v>
      </c>
      <c r="B14" s="745" t="s">
        <v>21</v>
      </c>
      <c r="C14" s="745" t="s">
        <v>72</v>
      </c>
      <c r="D14" s="739">
        <v>2460</v>
      </c>
      <c r="E14" s="119">
        <v>5160</v>
      </c>
      <c r="F14" s="118">
        <v>2460</v>
      </c>
      <c r="G14" s="638">
        <v>1920</v>
      </c>
      <c r="H14" s="645">
        <v>1500</v>
      </c>
      <c r="I14" s="629">
        <v>1380</v>
      </c>
      <c r="J14" s="777">
        <v>960</v>
      </c>
      <c r="K14" s="783">
        <v>660</v>
      </c>
      <c r="L14" s="777">
        <v>2820</v>
      </c>
      <c r="M14" s="629">
        <v>4380</v>
      </c>
      <c r="N14" s="638">
        <v>4140</v>
      </c>
      <c r="O14" s="629">
        <v>4800</v>
      </c>
      <c r="P14" s="652">
        <f t="shared" si="0"/>
        <v>32640</v>
      </c>
    </row>
    <row r="15" spans="1:16" s="121" customFormat="1" ht="27.75" customHeight="1">
      <c r="A15" s="753">
        <v>11</v>
      </c>
      <c r="B15" s="745" t="s">
        <v>63</v>
      </c>
      <c r="C15" s="745" t="s">
        <v>70</v>
      </c>
      <c r="D15" s="739">
        <v>526141</v>
      </c>
      <c r="E15" s="119">
        <v>1005772</v>
      </c>
      <c r="F15" s="118">
        <v>992069</v>
      </c>
      <c r="G15" s="638">
        <v>922491</v>
      </c>
      <c r="H15" s="645">
        <v>801929</v>
      </c>
      <c r="I15" s="629">
        <v>874046</v>
      </c>
      <c r="J15" s="777">
        <v>828286</v>
      </c>
      <c r="K15" s="783">
        <v>656136</v>
      </c>
      <c r="L15" s="777">
        <v>915474</v>
      </c>
      <c r="M15" s="629">
        <v>932362</v>
      </c>
      <c r="N15" s="638">
        <v>841082</v>
      </c>
      <c r="O15" s="629">
        <v>900908</v>
      </c>
      <c r="P15" s="652">
        <f t="shared" si="0"/>
        <v>10196696</v>
      </c>
    </row>
    <row r="16" spans="1:16" s="121" customFormat="1" ht="24.75" customHeight="1">
      <c r="A16" s="753">
        <v>12</v>
      </c>
      <c r="B16" s="748" t="s">
        <v>73</v>
      </c>
      <c r="C16" s="745" t="s">
        <v>70</v>
      </c>
      <c r="D16" s="739"/>
      <c r="E16" s="638"/>
      <c r="F16" s="125"/>
      <c r="G16" s="638"/>
      <c r="H16" s="645">
        <v>4040</v>
      </c>
      <c r="I16" s="629">
        <v>4796</v>
      </c>
      <c r="J16" s="777">
        <v>4772</v>
      </c>
      <c r="K16" s="783">
        <v>3852</v>
      </c>
      <c r="L16" s="777">
        <v>3920</v>
      </c>
      <c r="M16" s="629">
        <v>500</v>
      </c>
      <c r="N16" s="638"/>
      <c r="O16" s="629"/>
      <c r="P16" s="652">
        <f t="shared" si="0"/>
        <v>21880</v>
      </c>
    </row>
    <row r="17" spans="1:16" s="121" customFormat="1" ht="24.75" customHeight="1">
      <c r="A17" s="753">
        <v>14</v>
      </c>
      <c r="B17" s="745" t="s">
        <v>31</v>
      </c>
      <c r="C17" s="745" t="s">
        <v>70</v>
      </c>
      <c r="D17" s="739">
        <v>270</v>
      </c>
      <c r="E17" s="638">
        <v>325</v>
      </c>
      <c r="F17" s="125">
        <v>314</v>
      </c>
      <c r="G17" s="638">
        <v>228</v>
      </c>
      <c r="H17" s="645">
        <v>201</v>
      </c>
      <c r="I17" s="629">
        <v>206</v>
      </c>
      <c r="J17" s="777">
        <v>232</v>
      </c>
      <c r="K17" s="783">
        <v>227</v>
      </c>
      <c r="L17" s="777">
        <v>260</v>
      </c>
      <c r="M17" s="629">
        <v>204</v>
      </c>
      <c r="N17" s="638">
        <v>338</v>
      </c>
      <c r="O17" s="629">
        <v>230</v>
      </c>
      <c r="P17" s="652">
        <f t="shared" si="0"/>
        <v>3035</v>
      </c>
    </row>
    <row r="18" spans="1:16" s="121" customFormat="1" ht="24.75" customHeight="1">
      <c r="A18" s="753">
        <v>15</v>
      </c>
      <c r="B18" s="746" t="s">
        <v>34</v>
      </c>
      <c r="C18" s="745" t="s">
        <v>70</v>
      </c>
      <c r="D18" s="739">
        <v>886</v>
      </c>
      <c r="E18" s="119">
        <v>929</v>
      </c>
      <c r="F18" s="125">
        <v>735</v>
      </c>
      <c r="G18" s="638">
        <v>1967</v>
      </c>
      <c r="H18" s="645">
        <v>2182</v>
      </c>
      <c r="I18" s="629">
        <v>540</v>
      </c>
      <c r="J18" s="777">
        <v>3154</v>
      </c>
      <c r="K18" s="783">
        <v>151</v>
      </c>
      <c r="L18" s="777">
        <v>3414</v>
      </c>
      <c r="M18" s="629">
        <v>1988</v>
      </c>
      <c r="N18" s="638">
        <v>1988</v>
      </c>
      <c r="O18" s="629">
        <v>2203</v>
      </c>
      <c r="P18" s="652">
        <f t="shared" si="0"/>
        <v>20137</v>
      </c>
    </row>
    <row r="19" spans="1:16" s="121" customFormat="1" ht="24.75" customHeight="1">
      <c r="A19" s="753">
        <v>16</v>
      </c>
      <c r="B19" s="746" t="s">
        <v>200</v>
      </c>
      <c r="C19" s="746" t="s">
        <v>70</v>
      </c>
      <c r="D19" s="739">
        <v>62</v>
      </c>
      <c r="E19" s="638">
        <v>40</v>
      </c>
      <c r="F19" s="125">
        <v>61</v>
      </c>
      <c r="G19" s="638">
        <v>70</v>
      </c>
      <c r="H19" s="645">
        <v>78</v>
      </c>
      <c r="I19" s="629">
        <v>61</v>
      </c>
      <c r="J19" s="777">
        <v>101</v>
      </c>
      <c r="K19" s="783">
        <v>48</v>
      </c>
      <c r="L19" s="777">
        <v>69</v>
      </c>
      <c r="M19" s="629">
        <v>98</v>
      </c>
      <c r="N19" s="638">
        <v>134</v>
      </c>
      <c r="O19" s="629">
        <v>120</v>
      </c>
      <c r="P19" s="652">
        <f t="shared" si="0"/>
        <v>942</v>
      </c>
    </row>
    <row r="20" spans="1:17" s="121" customFormat="1" ht="24.75" customHeight="1">
      <c r="A20" s="856">
        <v>16</v>
      </c>
      <c r="B20" s="858" t="s">
        <v>197</v>
      </c>
      <c r="C20" s="746" t="s">
        <v>71</v>
      </c>
      <c r="D20" s="739">
        <v>54540</v>
      </c>
      <c r="E20" s="638">
        <v>231890</v>
      </c>
      <c r="F20" s="125">
        <v>160508</v>
      </c>
      <c r="G20" s="638">
        <v>174274</v>
      </c>
      <c r="H20" s="645">
        <v>116532</v>
      </c>
      <c r="I20" s="629">
        <v>210104</v>
      </c>
      <c r="J20" s="777">
        <v>196020</v>
      </c>
      <c r="K20" s="783">
        <v>170164</v>
      </c>
      <c r="L20" s="777">
        <v>198337</v>
      </c>
      <c r="M20" s="629">
        <v>205154</v>
      </c>
      <c r="N20" s="638"/>
      <c r="O20" s="629"/>
      <c r="P20" s="652">
        <f t="shared" si="0"/>
        <v>1717523</v>
      </c>
      <c r="Q20" s="121">
        <v>189000</v>
      </c>
    </row>
    <row r="21" spans="1:16" s="121" customFormat="1" ht="24.75" customHeight="1">
      <c r="A21" s="857">
        <v>17</v>
      </c>
      <c r="B21" s="859"/>
      <c r="C21" s="745" t="s">
        <v>70</v>
      </c>
      <c r="D21" s="739"/>
      <c r="E21" s="638"/>
      <c r="F21" s="125"/>
      <c r="G21" s="638"/>
      <c r="H21" s="645"/>
      <c r="I21" s="629"/>
      <c r="J21" s="777"/>
      <c r="K21" s="783"/>
      <c r="L21" s="777"/>
      <c r="M21" s="629"/>
      <c r="N21" s="638"/>
      <c r="O21" s="629"/>
      <c r="P21" s="652">
        <f t="shared" si="0"/>
        <v>0</v>
      </c>
    </row>
    <row r="22" spans="1:16" s="121" customFormat="1" ht="24.75" customHeight="1">
      <c r="A22" s="753">
        <v>17</v>
      </c>
      <c r="B22" s="746" t="s">
        <v>46</v>
      </c>
      <c r="C22" s="745" t="s">
        <v>70</v>
      </c>
      <c r="D22" s="739">
        <v>91792</v>
      </c>
      <c r="E22" s="119">
        <v>81146</v>
      </c>
      <c r="F22" s="125">
        <v>91872</v>
      </c>
      <c r="G22" s="638">
        <v>87811</v>
      </c>
      <c r="H22" s="645">
        <v>93199</v>
      </c>
      <c r="I22" s="629">
        <v>85194</v>
      </c>
      <c r="J22" s="777">
        <v>91162</v>
      </c>
      <c r="K22" s="783">
        <v>94923</v>
      </c>
      <c r="L22" s="777">
        <v>80984</v>
      </c>
      <c r="M22" s="629">
        <v>84616</v>
      </c>
      <c r="N22" s="638">
        <v>85018</v>
      </c>
      <c r="O22" s="629">
        <v>89735</v>
      </c>
      <c r="P22" s="652">
        <f t="shared" si="0"/>
        <v>1057452</v>
      </c>
    </row>
    <row r="23" spans="1:16" s="121" customFormat="1" ht="24.75" customHeight="1">
      <c r="A23" s="856">
        <v>18</v>
      </c>
      <c r="B23" s="858" t="s">
        <v>28</v>
      </c>
      <c r="C23" s="746" t="s">
        <v>71</v>
      </c>
      <c r="D23" s="739">
        <v>1225176</v>
      </c>
      <c r="E23" s="119">
        <v>2047908</v>
      </c>
      <c r="F23" s="125">
        <v>1923802</v>
      </c>
      <c r="G23" s="638">
        <v>2469764</v>
      </c>
      <c r="H23" s="645">
        <v>1709697</v>
      </c>
      <c r="I23" s="629">
        <v>2365334</v>
      </c>
      <c r="J23" s="777">
        <v>2819910</v>
      </c>
      <c r="K23" s="783">
        <v>2601550</v>
      </c>
      <c r="L23" s="783">
        <v>2599003</v>
      </c>
      <c r="M23" s="629">
        <v>2537266</v>
      </c>
      <c r="N23" s="629">
        <v>2261948</v>
      </c>
      <c r="O23" s="629">
        <v>2299226</v>
      </c>
      <c r="P23" s="652">
        <f t="shared" si="0"/>
        <v>26860584</v>
      </c>
    </row>
    <row r="24" spans="1:144" s="121" customFormat="1" ht="24.75" customHeight="1">
      <c r="A24" s="857"/>
      <c r="B24" s="859"/>
      <c r="C24" s="745" t="s">
        <v>72</v>
      </c>
      <c r="D24" s="740"/>
      <c r="E24" s="639"/>
      <c r="F24" s="635"/>
      <c r="G24" s="638"/>
      <c r="H24" s="645"/>
      <c r="I24" s="629"/>
      <c r="J24" s="777"/>
      <c r="K24" s="783"/>
      <c r="L24" s="777"/>
      <c r="M24" s="629"/>
      <c r="N24" s="638"/>
      <c r="O24" s="630"/>
      <c r="P24" s="652">
        <f t="shared" si="0"/>
        <v>0</v>
      </c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</row>
    <row r="25" spans="1:144" s="121" customFormat="1" ht="24.75" customHeight="1">
      <c r="A25" s="754">
        <v>19</v>
      </c>
      <c r="B25" s="749" t="s">
        <v>199</v>
      </c>
      <c r="C25" s="746" t="s">
        <v>71</v>
      </c>
      <c r="D25" s="740">
        <v>217200</v>
      </c>
      <c r="E25" s="639">
        <v>233760</v>
      </c>
      <c r="F25" s="635">
        <v>206760</v>
      </c>
      <c r="G25" s="639">
        <v>212280</v>
      </c>
      <c r="H25" s="646">
        <v>190920</v>
      </c>
      <c r="I25" s="629">
        <v>238800</v>
      </c>
      <c r="J25" s="778">
        <v>270840</v>
      </c>
      <c r="K25" s="784">
        <v>263880</v>
      </c>
      <c r="L25" s="778">
        <v>222960</v>
      </c>
      <c r="M25" s="630">
        <v>244320</v>
      </c>
      <c r="N25" s="639">
        <v>218640</v>
      </c>
      <c r="O25" s="630">
        <v>237840</v>
      </c>
      <c r="P25" s="652">
        <f t="shared" si="0"/>
        <v>2758200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</row>
    <row r="26" spans="1:144" s="121" customFormat="1" ht="24.75" customHeight="1">
      <c r="A26" s="754">
        <v>20</v>
      </c>
      <c r="B26" s="749" t="s">
        <v>182</v>
      </c>
      <c r="C26" s="746" t="s">
        <v>71</v>
      </c>
      <c r="D26" s="740">
        <v>135598</v>
      </c>
      <c r="E26" s="639">
        <v>148405</v>
      </c>
      <c r="F26" s="635">
        <v>160633</v>
      </c>
      <c r="G26" s="639">
        <v>149254</v>
      </c>
      <c r="H26" s="646">
        <v>95702</v>
      </c>
      <c r="I26" s="630">
        <v>119853</v>
      </c>
      <c r="J26" s="778">
        <v>91854</v>
      </c>
      <c r="K26" s="784">
        <v>141861</v>
      </c>
      <c r="L26" s="778">
        <v>165389</v>
      </c>
      <c r="M26" s="630">
        <v>153220</v>
      </c>
      <c r="N26" s="639">
        <v>164595</v>
      </c>
      <c r="O26" s="630">
        <v>182268</v>
      </c>
      <c r="P26" s="652">
        <f t="shared" si="0"/>
        <v>1708632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24.75" customHeight="1">
      <c r="A27" s="754">
        <v>21</v>
      </c>
      <c r="B27" s="749" t="s">
        <v>202</v>
      </c>
      <c r="C27" s="746" t="s">
        <v>71</v>
      </c>
      <c r="D27" s="741">
        <v>395004</v>
      </c>
      <c r="E27" s="735">
        <v>1377064</v>
      </c>
      <c r="F27" s="733">
        <v>1258756</v>
      </c>
      <c r="G27" s="735">
        <v>1487592</v>
      </c>
      <c r="H27" s="733">
        <v>1034300</v>
      </c>
      <c r="I27" s="723">
        <v>1544692</v>
      </c>
      <c r="J27" s="779">
        <v>1748692</v>
      </c>
      <c r="K27" s="785">
        <v>1669612</v>
      </c>
      <c r="L27" s="779">
        <v>1457736</v>
      </c>
      <c r="M27" s="723">
        <v>1512244</v>
      </c>
      <c r="N27" s="735">
        <v>1497412</v>
      </c>
      <c r="O27" s="723">
        <v>1456800</v>
      </c>
      <c r="P27" s="734">
        <f t="shared" si="0"/>
        <v>16439904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24.75" customHeight="1">
      <c r="A28" s="754">
        <v>22</v>
      </c>
      <c r="B28" s="749" t="s">
        <v>208</v>
      </c>
      <c r="C28" s="746" t="s">
        <v>71</v>
      </c>
      <c r="D28" s="760"/>
      <c r="E28" s="735">
        <v>540960</v>
      </c>
      <c r="F28" s="733">
        <v>566020</v>
      </c>
      <c r="G28" s="735">
        <v>760240</v>
      </c>
      <c r="H28" s="733">
        <v>607440</v>
      </c>
      <c r="I28" s="723">
        <v>654720</v>
      </c>
      <c r="J28" s="779">
        <v>642820</v>
      </c>
      <c r="K28" s="785">
        <v>684820</v>
      </c>
      <c r="L28" s="779">
        <v>613960</v>
      </c>
      <c r="M28" s="723">
        <v>664100</v>
      </c>
      <c r="N28" s="735">
        <v>582240</v>
      </c>
      <c r="O28" s="723">
        <v>532800</v>
      </c>
      <c r="P28" s="734">
        <f t="shared" si="0"/>
        <v>6850120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144" s="121" customFormat="1" ht="24.75" customHeight="1">
      <c r="A29" s="754">
        <v>23</v>
      </c>
      <c r="B29" s="749" t="s">
        <v>203</v>
      </c>
      <c r="C29" s="745" t="s">
        <v>70</v>
      </c>
      <c r="D29" s="741">
        <v>11072</v>
      </c>
      <c r="E29" s="735">
        <v>13893</v>
      </c>
      <c r="F29" s="733">
        <v>9723</v>
      </c>
      <c r="G29" s="735">
        <v>10192</v>
      </c>
      <c r="H29" s="733">
        <v>5294</v>
      </c>
      <c r="I29" s="723">
        <v>7130</v>
      </c>
      <c r="J29" s="779">
        <v>8803</v>
      </c>
      <c r="K29" s="785">
        <v>7125</v>
      </c>
      <c r="L29" s="779">
        <v>10242</v>
      </c>
      <c r="M29" s="723">
        <v>15086</v>
      </c>
      <c r="N29" s="735">
        <v>13374</v>
      </c>
      <c r="O29" s="723">
        <v>20094</v>
      </c>
      <c r="P29" s="734">
        <f t="shared" si="0"/>
        <v>132028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</row>
    <row r="30" spans="1:144" s="121" customFormat="1" ht="24.75" customHeight="1">
      <c r="A30" s="754">
        <v>24</v>
      </c>
      <c r="B30" s="749" t="s">
        <v>213</v>
      </c>
      <c r="C30" s="745" t="s">
        <v>70</v>
      </c>
      <c r="D30" s="741"/>
      <c r="E30" s="735">
        <v>4400</v>
      </c>
      <c r="F30" s="733">
        <v>4040</v>
      </c>
      <c r="G30" s="735">
        <v>5840</v>
      </c>
      <c r="H30" s="733">
        <v>5080</v>
      </c>
      <c r="I30" s="723">
        <v>5960</v>
      </c>
      <c r="J30" s="779">
        <v>5760</v>
      </c>
      <c r="K30" s="785">
        <v>5880</v>
      </c>
      <c r="L30" s="779">
        <v>7200</v>
      </c>
      <c r="M30" s="723">
        <v>9920</v>
      </c>
      <c r="N30" s="735">
        <v>7480</v>
      </c>
      <c r="O30" s="723">
        <v>12160</v>
      </c>
      <c r="P30" s="734">
        <f t="shared" si="0"/>
        <v>73720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</row>
    <row r="31" spans="1:144" s="121" customFormat="1" ht="24.75" customHeight="1">
      <c r="A31" s="754">
        <v>25</v>
      </c>
      <c r="B31" s="749" t="s">
        <v>204</v>
      </c>
      <c r="C31" s="745" t="s">
        <v>70</v>
      </c>
      <c r="D31" s="741"/>
      <c r="E31" s="735"/>
      <c r="F31" s="733"/>
      <c r="G31" s="735"/>
      <c r="H31" s="733"/>
      <c r="I31" s="723">
        <v>78</v>
      </c>
      <c r="J31" s="779">
        <v>72</v>
      </c>
      <c r="K31" s="785">
        <v>62</v>
      </c>
      <c r="L31" s="779">
        <v>68</v>
      </c>
      <c r="M31" s="723">
        <v>61</v>
      </c>
      <c r="N31" s="735">
        <v>0</v>
      </c>
      <c r="O31" s="723"/>
      <c r="P31" s="734">
        <f t="shared" si="0"/>
        <v>341</v>
      </c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</row>
    <row r="32" spans="1:144" s="121" customFormat="1" ht="24.75" customHeight="1">
      <c r="A32" s="757">
        <v>26</v>
      </c>
      <c r="B32" s="758" t="s">
        <v>214</v>
      </c>
      <c r="C32" s="759" t="s">
        <v>71</v>
      </c>
      <c r="D32" s="741">
        <v>242752</v>
      </c>
      <c r="E32" s="735">
        <v>214264</v>
      </c>
      <c r="F32" s="733">
        <v>220568</v>
      </c>
      <c r="G32" s="735">
        <v>201430</v>
      </c>
      <c r="H32" s="733">
        <v>195010</v>
      </c>
      <c r="I32" s="723">
        <v>202194</v>
      </c>
      <c r="J32" s="779">
        <v>202182</v>
      </c>
      <c r="K32" s="785">
        <v>192030</v>
      </c>
      <c r="L32" s="779">
        <v>139330</v>
      </c>
      <c r="M32" s="723">
        <v>193298</v>
      </c>
      <c r="N32" s="735">
        <v>226896</v>
      </c>
      <c r="O32" s="723">
        <v>207310</v>
      </c>
      <c r="P32" s="734">
        <f t="shared" si="0"/>
        <v>2437264</v>
      </c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6"/>
      <c r="CS32" s="166"/>
      <c r="CT32" s="166"/>
      <c r="CU32" s="166"/>
      <c r="CV32" s="166"/>
      <c r="CW32" s="166"/>
      <c r="CX32" s="166"/>
      <c r="CY32" s="166"/>
      <c r="CZ32" s="166"/>
      <c r="DA32" s="166"/>
      <c r="DB32" s="166"/>
      <c r="DC32" s="166"/>
      <c r="DD32" s="166"/>
      <c r="DE32" s="166"/>
      <c r="DF32" s="166"/>
      <c r="DG32" s="166"/>
      <c r="DH32" s="166"/>
      <c r="DI32" s="166"/>
      <c r="DJ32" s="166"/>
      <c r="DK32" s="166"/>
      <c r="DL32" s="166"/>
      <c r="DM32" s="166"/>
      <c r="DN32" s="166"/>
      <c r="DO32" s="166"/>
      <c r="DP32" s="166"/>
      <c r="DQ32" s="166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66"/>
      <c r="EG32" s="166"/>
      <c r="EH32" s="166"/>
      <c r="EI32" s="166"/>
      <c r="EJ32" s="166"/>
      <c r="EK32" s="166"/>
      <c r="EL32" s="166"/>
      <c r="EM32" s="166"/>
      <c r="EN32" s="166"/>
    </row>
    <row r="33" spans="1:144" s="121" customFormat="1" ht="24.75" customHeight="1" thickBot="1">
      <c r="A33" s="755">
        <v>27</v>
      </c>
      <c r="B33" s="750" t="s">
        <v>207</v>
      </c>
      <c r="C33" s="747" t="s">
        <v>70</v>
      </c>
      <c r="D33" s="742"/>
      <c r="E33" s="735"/>
      <c r="F33" s="733"/>
      <c r="G33" s="640">
        <v>75</v>
      </c>
      <c r="H33" s="733">
        <v>146</v>
      </c>
      <c r="I33" s="723">
        <v>233</v>
      </c>
      <c r="J33" s="780">
        <v>191</v>
      </c>
      <c r="K33" s="785">
        <v>216</v>
      </c>
      <c r="L33" s="780">
        <v>107</v>
      </c>
      <c r="M33" s="723">
        <v>64</v>
      </c>
      <c r="N33" s="640">
        <v>18</v>
      </c>
      <c r="O33" s="723">
        <v>20</v>
      </c>
      <c r="P33" s="734">
        <f t="shared" si="0"/>
        <v>1070</v>
      </c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6"/>
      <c r="CS33" s="166"/>
      <c r="CT33" s="166"/>
      <c r="CU33" s="166"/>
      <c r="CV33" s="166"/>
      <c r="CW33" s="166"/>
      <c r="CX33" s="166"/>
      <c r="CY33" s="166"/>
      <c r="CZ33" s="166"/>
      <c r="DA33" s="166"/>
      <c r="DB33" s="166"/>
      <c r="DC33" s="166"/>
      <c r="DD33" s="166"/>
      <c r="DE33" s="166"/>
      <c r="DF33" s="166"/>
      <c r="DG33" s="166"/>
      <c r="DH33" s="166"/>
      <c r="DI33" s="166"/>
      <c r="DJ33" s="166"/>
      <c r="DK33" s="166"/>
      <c r="DL33" s="166"/>
      <c r="DM33" s="166"/>
      <c r="DN33" s="166"/>
      <c r="DO33" s="166"/>
      <c r="DP33" s="166"/>
      <c r="DQ33" s="166"/>
      <c r="DR33" s="166"/>
      <c r="DS33" s="166"/>
      <c r="DT33" s="166"/>
      <c r="DU33" s="166"/>
      <c r="DV33" s="166"/>
      <c r="DW33" s="166"/>
      <c r="DX33" s="166"/>
      <c r="DY33" s="166"/>
      <c r="DZ33" s="166"/>
      <c r="EA33" s="166"/>
      <c r="EB33" s="166"/>
      <c r="EC33" s="166"/>
      <c r="ED33" s="166"/>
      <c r="EE33" s="166"/>
      <c r="EF33" s="166"/>
      <c r="EG33" s="166"/>
      <c r="EH33" s="166"/>
      <c r="EI33" s="166"/>
      <c r="EJ33" s="166"/>
      <c r="EK33" s="166"/>
      <c r="EL33" s="166"/>
      <c r="EM33" s="166"/>
      <c r="EN33" s="166"/>
    </row>
    <row r="34" spans="1:231" s="121" customFormat="1" ht="30" customHeight="1" thickBot="1">
      <c r="A34" s="162"/>
      <c r="B34" s="609" t="s">
        <v>5</v>
      </c>
      <c r="C34" s="743"/>
      <c r="D34" s="736">
        <f>D5+D6+D7+D8+D9+D10+D11+D12+D13+D14+D15+D16+D17+D18+D19+D20+D21+D22+D23+D24+D25+D26+D27+D28+D29+D30+D31+D32+D33</f>
        <v>3119137</v>
      </c>
      <c r="E34" s="736">
        <f>E5+E6+E7+E8+E9+E10+E11+E12+E13+E14+E15+E16+E17+E18+E19+E20+E21+E22+E23+E24+E25+E26+E27+E28+E29+E30+E31+E32+E33</f>
        <v>6126481</v>
      </c>
      <c r="F34" s="736">
        <f aca="true" t="shared" si="1" ref="F34:P34">F5+F6+F7+F8+F9+F10+F11+F12+F13+F14+F15+F16+F17+F18+F19+F20+F21+F22+F23+F24+F25+F26+F27+F28+F29+F30+F31+F32+F33</f>
        <v>5784162</v>
      </c>
      <c r="G34" s="736">
        <f t="shared" si="1"/>
        <v>6672498</v>
      </c>
      <c r="H34" s="736">
        <f t="shared" si="1"/>
        <v>5042574</v>
      </c>
      <c r="I34" s="736">
        <f t="shared" si="1"/>
        <v>6516452</v>
      </c>
      <c r="J34" s="736">
        <f t="shared" si="1"/>
        <v>7124248</v>
      </c>
      <c r="K34" s="736">
        <f t="shared" si="1"/>
        <v>6691630</v>
      </c>
      <c r="L34" s="736">
        <f t="shared" si="1"/>
        <v>6610844</v>
      </c>
      <c r="M34" s="736">
        <f t="shared" si="1"/>
        <v>6763208</v>
      </c>
      <c r="N34" s="736">
        <f t="shared" si="1"/>
        <v>6086271</v>
      </c>
      <c r="O34" s="736">
        <f t="shared" si="1"/>
        <v>6158266</v>
      </c>
      <c r="P34" s="736">
        <f t="shared" si="1"/>
        <v>72695771</v>
      </c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</row>
    <row r="35" spans="1:25" ht="18.75" customHeight="1" thickBot="1">
      <c r="A35" s="860" t="s">
        <v>220</v>
      </c>
      <c r="B35" s="863" t="s">
        <v>209</v>
      </c>
      <c r="C35" s="679" t="s">
        <v>71</v>
      </c>
      <c r="D35" s="680">
        <f>D9+D20+D23+D25+D26+D27+D28+D32</f>
        <v>2458126</v>
      </c>
      <c r="E35" s="680">
        <f>E9+E20+E23+E25+E26+E27+E28+E32</f>
        <v>4990931</v>
      </c>
      <c r="F35" s="680">
        <f aca="true" t="shared" si="2" ref="F35:O35">F9+F20+F23+F25+F26+F27+F28+F32</f>
        <v>4665834</v>
      </c>
      <c r="G35" s="680">
        <f t="shared" si="2"/>
        <v>5621952</v>
      </c>
      <c r="H35" s="680">
        <f t="shared" si="2"/>
        <v>4115347</v>
      </c>
      <c r="I35" s="680">
        <f t="shared" si="2"/>
        <v>5516708</v>
      </c>
      <c r="J35" s="680">
        <f t="shared" si="2"/>
        <v>6165970</v>
      </c>
      <c r="K35" s="680">
        <f t="shared" si="2"/>
        <v>5905318</v>
      </c>
      <c r="L35" s="680">
        <f t="shared" si="2"/>
        <v>5570277</v>
      </c>
      <c r="M35" s="680">
        <f t="shared" si="2"/>
        <v>5691028</v>
      </c>
      <c r="N35" s="680">
        <f t="shared" si="2"/>
        <v>5107764</v>
      </c>
      <c r="O35" s="680">
        <f t="shared" si="2"/>
        <v>5109107</v>
      </c>
      <c r="P35" s="768">
        <f t="shared" si="0"/>
        <v>60918362</v>
      </c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24" customHeight="1" thickBot="1">
      <c r="A36" s="861"/>
      <c r="B36" s="863"/>
      <c r="C36" s="679" t="s">
        <v>70</v>
      </c>
      <c r="D36" s="685">
        <f>D5+D6+D7+D8+D10+D12+D15+D16+D17+D18+D21+D22+D29+D31+D33+D19+D30</f>
        <v>658551</v>
      </c>
      <c r="E36" s="685">
        <f aca="true" t="shared" si="3" ref="E36:O36">E5+E6+E7+E8+E10+E12+E15+E16+E17+E18+E21+E22+E29+E31+E33+E19+E30</f>
        <v>1130390</v>
      </c>
      <c r="F36" s="685">
        <f t="shared" si="3"/>
        <v>1113959</v>
      </c>
      <c r="G36" s="685">
        <f t="shared" si="3"/>
        <v>1045453</v>
      </c>
      <c r="H36" s="685">
        <f t="shared" si="3"/>
        <v>925727</v>
      </c>
      <c r="I36" s="685">
        <f t="shared" si="3"/>
        <v>996315</v>
      </c>
      <c r="J36" s="685">
        <f t="shared" si="3"/>
        <v>957318</v>
      </c>
      <c r="K36" s="685">
        <f t="shared" si="3"/>
        <v>785652</v>
      </c>
      <c r="L36" s="685">
        <f t="shared" si="3"/>
        <v>1036588</v>
      </c>
      <c r="M36" s="685">
        <f t="shared" si="3"/>
        <v>1067800</v>
      </c>
      <c r="N36" s="685">
        <f t="shared" si="3"/>
        <v>974367</v>
      </c>
      <c r="O36" s="685">
        <f t="shared" si="3"/>
        <v>1042699</v>
      </c>
      <c r="P36" s="770">
        <f t="shared" si="0"/>
        <v>11734819</v>
      </c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24.75" customHeight="1" thickBot="1">
      <c r="A37" s="862"/>
      <c r="B37" s="864"/>
      <c r="C37" s="689" t="s">
        <v>72</v>
      </c>
      <c r="D37" s="680">
        <f>D11+D13+D14+D1</f>
        <v>2460</v>
      </c>
      <c r="E37" s="680">
        <f aca="true" t="shared" si="4" ref="E37:O37">E11+E13+E14+E1</f>
        <v>5160</v>
      </c>
      <c r="F37" s="680">
        <f t="shared" si="4"/>
        <v>4369</v>
      </c>
      <c r="G37" s="680">
        <f t="shared" si="4"/>
        <v>5093</v>
      </c>
      <c r="H37" s="680">
        <f t="shared" si="4"/>
        <v>1500</v>
      </c>
      <c r="I37" s="680">
        <f t="shared" si="4"/>
        <v>3429</v>
      </c>
      <c r="J37" s="680">
        <f t="shared" si="4"/>
        <v>960</v>
      </c>
      <c r="K37" s="680">
        <f t="shared" si="4"/>
        <v>660</v>
      </c>
      <c r="L37" s="680">
        <f t="shared" si="4"/>
        <v>3979</v>
      </c>
      <c r="M37" s="680">
        <f t="shared" si="4"/>
        <v>4380</v>
      </c>
      <c r="N37" s="680">
        <f t="shared" si="4"/>
        <v>4140</v>
      </c>
      <c r="O37" s="680">
        <f t="shared" si="4"/>
        <v>6460</v>
      </c>
      <c r="P37" s="769">
        <f t="shared" si="0"/>
        <v>42590</v>
      </c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2.75">
      <c r="A38" s="90"/>
      <c r="B38" s="786"/>
      <c r="C38" s="90"/>
      <c r="D38" s="95">
        <f aca="true" t="shared" si="5" ref="D38:O38">D35+D36+D37</f>
        <v>3119137</v>
      </c>
      <c r="E38" s="95">
        <f t="shared" si="5"/>
        <v>6126481</v>
      </c>
      <c r="F38" s="95">
        <f t="shared" si="5"/>
        <v>5784162</v>
      </c>
      <c r="G38" s="95">
        <f t="shared" si="5"/>
        <v>6672498</v>
      </c>
      <c r="H38" s="95">
        <f t="shared" si="5"/>
        <v>5042574</v>
      </c>
      <c r="I38" s="95">
        <f t="shared" si="5"/>
        <v>6516452</v>
      </c>
      <c r="J38" s="95">
        <f t="shared" si="5"/>
        <v>7124248</v>
      </c>
      <c r="K38" s="95">
        <f t="shared" si="5"/>
        <v>6691630</v>
      </c>
      <c r="L38" s="95">
        <f t="shared" si="5"/>
        <v>6610844</v>
      </c>
      <c r="M38" s="95">
        <f t="shared" si="5"/>
        <v>6763208</v>
      </c>
      <c r="N38" s="95">
        <f t="shared" si="5"/>
        <v>6086271</v>
      </c>
      <c r="O38" s="95">
        <f t="shared" si="5"/>
        <v>6158266</v>
      </c>
      <c r="P38" s="771">
        <f t="shared" si="0"/>
        <v>72695771</v>
      </c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.75" thickBot="1">
      <c r="A39" s="90"/>
      <c r="B39" s="786"/>
      <c r="C39" s="90"/>
      <c r="D39" s="90"/>
      <c r="E39" s="90"/>
      <c r="F39" s="90"/>
      <c r="G39" s="32"/>
      <c r="H39" s="32"/>
      <c r="I39" s="32"/>
      <c r="J39" s="32"/>
      <c r="K39" s="32"/>
      <c r="L39" s="32"/>
      <c r="M39" s="32"/>
      <c r="N39" s="32"/>
      <c r="O39" s="32"/>
      <c r="P39" s="767"/>
      <c r="Q39" s="32"/>
      <c r="R39" s="32"/>
      <c r="S39" s="32"/>
      <c r="T39" s="32"/>
      <c r="U39" s="32"/>
      <c r="V39" s="32"/>
      <c r="W39" s="32"/>
      <c r="X39" s="32"/>
      <c r="Y39" s="32"/>
    </row>
    <row r="40" spans="1:25" ht="18.75" customHeight="1" thickBot="1">
      <c r="A40" s="847">
        <v>2014</v>
      </c>
      <c r="B40" s="850" t="s">
        <v>215</v>
      </c>
      <c r="C40" s="761" t="s">
        <v>71</v>
      </c>
      <c r="D40" s="762">
        <v>5250997</v>
      </c>
      <c r="E40" s="762">
        <v>8788869</v>
      </c>
      <c r="F40" s="762">
        <v>8536741</v>
      </c>
      <c r="G40" s="762">
        <v>9074440</v>
      </c>
      <c r="H40" s="762">
        <v>6780110</v>
      </c>
      <c r="I40" s="762">
        <v>8059684</v>
      </c>
      <c r="J40" s="762">
        <v>8967656</v>
      </c>
      <c r="K40" s="762">
        <v>8184689</v>
      </c>
      <c r="L40" s="762">
        <v>8507059</v>
      </c>
      <c r="M40" s="762">
        <v>9516879</v>
      </c>
      <c r="N40" s="762">
        <v>8785682</v>
      </c>
      <c r="O40" s="763">
        <v>9572305</v>
      </c>
      <c r="P40" s="768">
        <f t="shared" si="0"/>
        <v>100025111</v>
      </c>
      <c r="Q40" s="32"/>
      <c r="R40" s="32"/>
      <c r="S40" s="32"/>
      <c r="T40" s="32"/>
      <c r="U40" s="32"/>
      <c r="V40" s="32"/>
      <c r="W40" s="32"/>
      <c r="X40" s="32"/>
      <c r="Y40" s="32"/>
    </row>
    <row r="41" spans="1:25" ht="24" customHeight="1" thickBot="1">
      <c r="A41" s="848"/>
      <c r="B41" s="851"/>
      <c r="C41" s="761" t="s">
        <v>70</v>
      </c>
      <c r="D41" s="764">
        <v>105055</v>
      </c>
      <c r="E41" s="764">
        <v>69840</v>
      </c>
      <c r="F41" s="764">
        <v>40078</v>
      </c>
      <c r="G41" s="764">
        <v>52017</v>
      </c>
      <c r="H41" s="764">
        <v>2035</v>
      </c>
      <c r="I41" s="764">
        <v>2365</v>
      </c>
      <c r="J41" s="764">
        <v>2413</v>
      </c>
      <c r="K41" s="764">
        <v>2760</v>
      </c>
      <c r="L41" s="764">
        <v>5202</v>
      </c>
      <c r="M41" s="764">
        <v>9093</v>
      </c>
      <c r="N41" s="764">
        <v>14923</v>
      </c>
      <c r="O41" s="765">
        <v>10138</v>
      </c>
      <c r="P41" s="770">
        <f t="shared" si="0"/>
        <v>315919</v>
      </c>
      <c r="Q41" s="32"/>
      <c r="R41" s="32"/>
      <c r="S41" s="32"/>
      <c r="T41" s="32"/>
      <c r="U41" s="32"/>
      <c r="V41" s="32"/>
      <c r="W41" s="32"/>
      <c r="X41" s="32"/>
      <c r="Y41" s="32"/>
    </row>
    <row r="42" spans="1:25" ht="24.75" customHeight="1" thickBot="1">
      <c r="A42" s="849"/>
      <c r="B42" s="852"/>
      <c r="C42" s="766" t="s">
        <v>72</v>
      </c>
      <c r="D42" s="762">
        <v>2313</v>
      </c>
      <c r="E42" s="762">
        <v>180</v>
      </c>
      <c r="F42" s="762">
        <v>62505</v>
      </c>
      <c r="G42" s="762">
        <v>1296</v>
      </c>
      <c r="H42" s="762">
        <v>861</v>
      </c>
      <c r="I42" s="762">
        <v>1863</v>
      </c>
      <c r="J42" s="762">
        <v>1002</v>
      </c>
      <c r="K42" s="762">
        <v>1122</v>
      </c>
      <c r="L42" s="762">
        <v>1763</v>
      </c>
      <c r="M42" s="762">
        <v>1823</v>
      </c>
      <c r="N42" s="762">
        <v>1022</v>
      </c>
      <c r="O42" s="763">
        <v>1500</v>
      </c>
      <c r="P42" s="769">
        <f t="shared" si="0"/>
        <v>77250</v>
      </c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2.75">
      <c r="A43" s="90"/>
      <c r="B43" s="786"/>
      <c r="C43" s="90"/>
      <c r="D43" s="95">
        <f>D40+D41+D42</f>
        <v>5358365</v>
      </c>
      <c r="E43" s="95">
        <f aca="true" t="shared" si="6" ref="E43:P43">E40+E41+E42</f>
        <v>8858889</v>
      </c>
      <c r="F43" s="95">
        <f t="shared" si="6"/>
        <v>8639324</v>
      </c>
      <c r="G43" s="95">
        <f t="shared" si="6"/>
        <v>9127753</v>
      </c>
      <c r="H43" s="95">
        <f t="shared" si="6"/>
        <v>6783006</v>
      </c>
      <c r="I43" s="95">
        <f t="shared" si="6"/>
        <v>8063912</v>
      </c>
      <c r="J43" s="95">
        <f t="shared" si="6"/>
        <v>8971071</v>
      </c>
      <c r="K43" s="95">
        <f t="shared" si="6"/>
        <v>8188571</v>
      </c>
      <c r="L43" s="95">
        <f t="shared" si="6"/>
        <v>8514024</v>
      </c>
      <c r="M43" s="95">
        <f t="shared" si="6"/>
        <v>9527795</v>
      </c>
      <c r="N43" s="95">
        <f t="shared" si="6"/>
        <v>8801627</v>
      </c>
      <c r="O43" s="95">
        <f t="shared" si="6"/>
        <v>9583943</v>
      </c>
      <c r="P43" s="95">
        <f t="shared" si="6"/>
        <v>100418280</v>
      </c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3.5" thickBot="1">
      <c r="A44" s="90"/>
      <c r="B44" s="786"/>
      <c r="C44" s="90"/>
      <c r="D44" s="90"/>
      <c r="E44" s="90"/>
      <c r="F44" s="9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5.75" thickBot="1">
      <c r="A45" s="847">
        <v>2014</v>
      </c>
      <c r="B45" s="853" t="s">
        <v>216</v>
      </c>
      <c r="C45" s="761" t="s">
        <v>217</v>
      </c>
      <c r="D45" s="762">
        <v>175</v>
      </c>
      <c r="E45" s="762"/>
      <c r="F45" s="762"/>
      <c r="G45" s="762"/>
      <c r="H45" s="762"/>
      <c r="I45" s="762"/>
      <c r="J45" s="762">
        <v>178.97</v>
      </c>
      <c r="K45" s="762"/>
      <c r="L45" s="762"/>
      <c r="M45" s="762"/>
      <c r="N45" s="762"/>
      <c r="O45" s="763"/>
      <c r="P45" s="768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5.75" thickBot="1">
      <c r="A46" s="848"/>
      <c r="B46" s="854"/>
      <c r="C46" s="761" t="s">
        <v>218</v>
      </c>
      <c r="D46" s="764">
        <f>D47/1.18</f>
        <v>505280.8305084746</v>
      </c>
      <c r="E46" s="764">
        <f aca="true" t="shared" si="7" ref="E46:O46">E47/1.18</f>
        <v>940611</v>
      </c>
      <c r="F46" s="764">
        <f t="shared" si="7"/>
        <v>857849.6525423729</v>
      </c>
      <c r="G46" s="764">
        <f t="shared" si="7"/>
        <v>996845.5</v>
      </c>
      <c r="H46" s="764">
        <f t="shared" si="7"/>
        <v>1435839.4830508477</v>
      </c>
      <c r="I46" s="764">
        <f t="shared" si="7"/>
        <v>1139116.652542373</v>
      </c>
      <c r="J46" s="764">
        <f t="shared" si="7"/>
        <v>1275767.2372881358</v>
      </c>
      <c r="K46" s="764">
        <f t="shared" si="7"/>
        <v>1197625.8983050848</v>
      </c>
      <c r="L46" s="764">
        <f t="shared" si="7"/>
        <v>1183182.1186440678</v>
      </c>
      <c r="M46" s="764">
        <f t="shared" si="7"/>
        <v>1210411.3389830508</v>
      </c>
      <c r="N46" s="764">
        <f t="shared" si="7"/>
        <v>1089259.7372881356</v>
      </c>
      <c r="O46" s="764">
        <f t="shared" si="7"/>
        <v>841421.3728813559</v>
      </c>
      <c r="P46" s="770">
        <f>SUM(D46+E46+F46+G46+H46+I46+J46+K46+L46+M46+N46+O46)</f>
        <v>12673210.8220339</v>
      </c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75" thickBot="1">
      <c r="A47" s="849"/>
      <c r="B47" s="855"/>
      <c r="C47" s="766" t="s">
        <v>219</v>
      </c>
      <c r="D47" s="762">
        <v>596231.38</v>
      </c>
      <c r="E47" s="762">
        <v>1109920.98</v>
      </c>
      <c r="F47" s="762">
        <v>1012262.59</v>
      </c>
      <c r="G47" s="762">
        <v>1176277.69</v>
      </c>
      <c r="H47" s="762">
        <v>1694290.59</v>
      </c>
      <c r="I47" s="762">
        <v>1344157.65</v>
      </c>
      <c r="J47" s="762">
        <v>1505405.34</v>
      </c>
      <c r="K47" s="762">
        <v>1413198.56</v>
      </c>
      <c r="L47" s="762">
        <v>1396154.9</v>
      </c>
      <c r="M47" s="762">
        <v>1428285.38</v>
      </c>
      <c r="N47" s="762">
        <v>1285326.49</v>
      </c>
      <c r="O47" s="763">
        <v>992877.22</v>
      </c>
      <c r="P47" s="769">
        <f>SUM(D47+E47+F47+G47+H47+I47+J47+K47+L47+M47+N47+O47)</f>
        <v>14954388.77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>
      <c r="A48" s="90"/>
      <c r="B48" s="90"/>
      <c r="C48" s="90"/>
      <c r="D48" s="90"/>
      <c r="E48" s="90"/>
      <c r="F48" s="9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>
      <c r="A49" s="90"/>
      <c r="B49" s="90"/>
      <c r="C49" s="90"/>
      <c r="D49" s="90"/>
      <c r="E49" s="90"/>
      <c r="F49" s="90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6" ht="12.75">
      <c r="A50" s="97"/>
      <c r="B50" s="97"/>
      <c r="C50" s="97"/>
      <c r="D50" s="97"/>
      <c r="E50" s="97"/>
      <c r="F50" s="97"/>
    </row>
    <row r="51" spans="1:6" ht="12.75">
      <c r="A51" s="97"/>
      <c r="B51" s="97"/>
      <c r="C51" s="97"/>
      <c r="D51" s="97"/>
      <c r="E51" s="97"/>
      <c r="F51" s="97"/>
    </row>
    <row r="52" spans="1:6" ht="12.75">
      <c r="A52" s="97"/>
      <c r="B52" s="97"/>
      <c r="C52" s="97"/>
      <c r="D52" s="97"/>
      <c r="E52" s="97"/>
      <c r="F52" s="97"/>
    </row>
    <row r="53" spans="1:6" ht="12.75">
      <c r="A53" s="97"/>
      <c r="B53" s="97"/>
      <c r="C53" s="97"/>
      <c r="D53" s="97"/>
      <c r="E53" s="97"/>
      <c r="F53" s="97"/>
    </row>
    <row r="54" spans="1:6" ht="12.75">
      <c r="A54" s="97"/>
      <c r="B54" s="97"/>
      <c r="C54" s="97"/>
      <c r="D54" s="97"/>
      <c r="E54" s="97"/>
      <c r="F54" s="97"/>
    </row>
    <row r="55" spans="1:6" ht="12.75">
      <c r="A55" s="97"/>
      <c r="B55" s="97"/>
      <c r="C55" s="97"/>
      <c r="D55" s="97"/>
      <c r="E55" s="97"/>
      <c r="F55" s="97"/>
    </row>
    <row r="56" spans="1:6" ht="12.75">
      <c r="A56" s="97"/>
      <c r="B56" s="97"/>
      <c r="C56" s="97"/>
      <c r="D56" s="97"/>
      <c r="E56" s="97"/>
      <c r="F56" s="97"/>
    </row>
    <row r="57" spans="1:6" ht="12.75">
      <c r="A57" s="97"/>
      <c r="B57" s="97"/>
      <c r="C57" s="97"/>
      <c r="D57" s="97"/>
      <c r="E57" s="97"/>
      <c r="F57" s="97"/>
    </row>
    <row r="58" spans="1:6" ht="12.75">
      <c r="A58" s="97"/>
      <c r="B58" s="97"/>
      <c r="C58" s="97"/>
      <c r="D58" s="97"/>
      <c r="E58" s="97"/>
      <c r="F58" s="97"/>
    </row>
    <row r="59" spans="1:6" ht="12.75">
      <c r="A59" s="97"/>
      <c r="B59" s="97"/>
      <c r="C59" s="97"/>
      <c r="D59" s="97"/>
      <c r="E59" s="97"/>
      <c r="F59" s="97"/>
    </row>
    <row r="60" spans="1:6" ht="12.75">
      <c r="A60" s="97"/>
      <c r="B60" s="97"/>
      <c r="C60" s="97"/>
      <c r="D60" s="97"/>
      <c r="E60" s="97"/>
      <c r="F60" s="97"/>
    </row>
    <row r="61" spans="1:6" ht="12.75">
      <c r="A61" s="97"/>
      <c r="B61" s="97"/>
      <c r="C61" s="97"/>
      <c r="D61" s="97"/>
      <c r="E61" s="97"/>
      <c r="F61" s="97"/>
    </row>
    <row r="62" spans="1:6" ht="12.75">
      <c r="A62" s="97"/>
      <c r="B62" s="97"/>
      <c r="C62" s="97"/>
      <c r="D62" s="97"/>
      <c r="E62" s="97"/>
      <c r="F62" s="97"/>
    </row>
    <row r="63" spans="1:6" ht="12.75">
      <c r="A63" s="97"/>
      <c r="B63" s="97"/>
      <c r="C63" s="97"/>
      <c r="D63" s="97"/>
      <c r="E63" s="97"/>
      <c r="F63" s="97"/>
    </row>
  </sheetData>
  <sheetProtection/>
  <mergeCells count="15">
    <mergeCell ref="A45:A47"/>
    <mergeCell ref="B45:B47"/>
    <mergeCell ref="A20:A21"/>
    <mergeCell ref="B20:B21"/>
    <mergeCell ref="A23:A24"/>
    <mergeCell ref="B23:B24"/>
    <mergeCell ref="A35:A37"/>
    <mergeCell ref="B35:B37"/>
    <mergeCell ref="A1:F1"/>
    <mergeCell ref="A2:A3"/>
    <mergeCell ref="B2:B3"/>
    <mergeCell ref="C2:C3"/>
    <mergeCell ref="B4:F4"/>
    <mergeCell ref="A40:A42"/>
    <mergeCell ref="B40:B42"/>
  </mergeCells>
  <printOptions/>
  <pageMargins left="0" right="0" top="0" bottom="0" header="0.31496062992125984" footer="0.31496062992125984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9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.625" style="0" customWidth="1"/>
    <col min="2" max="2" width="22.75390625" style="0" customWidth="1"/>
    <col min="3" max="3" width="13.375" style="0" customWidth="1"/>
    <col min="4" max="4" width="11.375" style="0" customWidth="1"/>
    <col min="5" max="5" width="13.375" style="0" customWidth="1"/>
    <col min="6" max="6" width="11.75390625" style="0" customWidth="1"/>
    <col min="7" max="7" width="12.875" style="0" customWidth="1"/>
    <col min="8" max="8" width="12.625" style="0" customWidth="1"/>
    <col min="9" max="9" width="13.25390625" style="0" customWidth="1"/>
    <col min="10" max="11" width="13.125" style="0" customWidth="1"/>
    <col min="12" max="12" width="12.375" style="0" customWidth="1"/>
    <col min="13" max="13" width="12.625" style="200" bestFit="1" customWidth="1"/>
    <col min="14" max="14" width="14.00390625" style="0" customWidth="1"/>
    <col min="15" max="15" width="12.75390625" style="0" customWidth="1"/>
    <col min="16" max="16" width="13.875" style="0" customWidth="1"/>
    <col min="17" max="17" width="13.625" style="0" customWidth="1"/>
    <col min="18" max="18" width="12.00390625" style="0" customWidth="1"/>
    <col min="19" max="19" width="13.25390625" style="0" customWidth="1"/>
    <col min="20" max="20" width="13.75390625" style="0" customWidth="1"/>
    <col min="21" max="21" width="13.25390625" style="0" customWidth="1"/>
    <col min="22" max="22" width="13.625" style="0" customWidth="1"/>
    <col min="23" max="23" width="12.625" style="0" bestFit="1" customWidth="1"/>
    <col min="24" max="24" width="13.875" style="0" customWidth="1"/>
    <col min="25" max="26" width="13.375" style="0" customWidth="1"/>
    <col min="27" max="27" width="14.00390625" style="0" customWidth="1"/>
    <col min="28" max="28" width="13.375" style="0" customWidth="1"/>
    <col min="29" max="29" width="14.00390625" style="0" customWidth="1"/>
    <col min="30" max="30" width="15.00390625" style="0" customWidth="1"/>
    <col min="31" max="31" width="16.125" style="0" customWidth="1"/>
    <col min="32" max="32" width="10.25390625" style="0" bestFit="1" customWidth="1"/>
  </cols>
  <sheetData>
    <row r="1" spans="1:12" ht="31.5" customHeight="1" thickBot="1">
      <c r="A1" s="788" t="s">
        <v>153</v>
      </c>
      <c r="B1" s="788"/>
      <c r="C1" s="789"/>
      <c r="D1" s="789"/>
      <c r="E1" s="789"/>
      <c r="F1" s="789"/>
      <c r="G1" s="789"/>
      <c r="H1" s="789"/>
      <c r="I1" s="789"/>
      <c r="J1" s="789"/>
      <c r="K1" s="789"/>
      <c r="L1" s="788"/>
    </row>
    <row r="2" spans="1:29" ht="19.5" customHeight="1" thickBot="1">
      <c r="A2" s="790" t="s">
        <v>0</v>
      </c>
      <c r="B2" s="790" t="s">
        <v>1</v>
      </c>
      <c r="C2" s="790" t="s">
        <v>82</v>
      </c>
      <c r="D2" s="813" t="s">
        <v>3</v>
      </c>
      <c r="E2" s="814"/>
      <c r="F2" s="813" t="s">
        <v>6</v>
      </c>
      <c r="G2" s="814"/>
      <c r="H2" s="793" t="s">
        <v>7</v>
      </c>
      <c r="I2" s="795"/>
      <c r="J2" s="793" t="s">
        <v>8</v>
      </c>
      <c r="K2" s="795"/>
      <c r="L2" s="793" t="s">
        <v>9</v>
      </c>
      <c r="M2" s="795"/>
      <c r="N2" s="804" t="s">
        <v>10</v>
      </c>
      <c r="O2" s="806"/>
      <c r="P2" s="804" t="s">
        <v>11</v>
      </c>
      <c r="Q2" s="806"/>
      <c r="R2" s="804" t="s">
        <v>12</v>
      </c>
      <c r="S2" s="806"/>
      <c r="T2" s="804" t="s">
        <v>13</v>
      </c>
      <c r="U2" s="806"/>
      <c r="V2" s="804" t="s">
        <v>14</v>
      </c>
      <c r="W2" s="806"/>
      <c r="X2" s="804" t="s">
        <v>15</v>
      </c>
      <c r="Y2" s="806"/>
      <c r="Z2" s="804" t="s">
        <v>16</v>
      </c>
      <c r="AA2" s="806"/>
      <c r="AB2" s="811" t="s">
        <v>154</v>
      </c>
      <c r="AC2" s="812"/>
    </row>
    <row r="3" spans="1:29" ht="32.25" customHeight="1" thickBot="1">
      <c r="A3" s="791"/>
      <c r="B3" s="791"/>
      <c r="C3" s="792"/>
      <c r="D3" s="206" t="s">
        <v>4</v>
      </c>
      <c r="E3" s="510" t="s">
        <v>85</v>
      </c>
      <c r="F3" s="206" t="s">
        <v>4</v>
      </c>
      <c r="G3" s="207" t="s">
        <v>86</v>
      </c>
      <c r="H3" s="206" t="s">
        <v>4</v>
      </c>
      <c r="I3" s="207" t="s">
        <v>86</v>
      </c>
      <c r="J3" s="206" t="s">
        <v>4</v>
      </c>
      <c r="K3" s="207" t="s">
        <v>86</v>
      </c>
      <c r="L3" s="206" t="s">
        <v>4</v>
      </c>
      <c r="M3" s="208" t="s">
        <v>86</v>
      </c>
      <c r="N3" s="206" t="s">
        <v>4</v>
      </c>
      <c r="O3" s="207" t="s">
        <v>86</v>
      </c>
      <c r="P3" s="206" t="s">
        <v>4</v>
      </c>
      <c r="Q3" s="207" t="s">
        <v>86</v>
      </c>
      <c r="R3" s="206" t="s">
        <v>4</v>
      </c>
      <c r="S3" s="207" t="s">
        <v>86</v>
      </c>
      <c r="T3" s="206" t="s">
        <v>4</v>
      </c>
      <c r="U3" s="207" t="s">
        <v>86</v>
      </c>
      <c r="V3" s="206" t="s">
        <v>4</v>
      </c>
      <c r="W3" s="207" t="s">
        <v>86</v>
      </c>
      <c r="X3" s="206" t="s">
        <v>4</v>
      </c>
      <c r="Y3" s="207" t="s">
        <v>86</v>
      </c>
      <c r="Z3" s="206" t="s">
        <v>4</v>
      </c>
      <c r="AA3" s="207" t="s">
        <v>86</v>
      </c>
      <c r="AB3" s="206" t="s">
        <v>4</v>
      </c>
      <c r="AC3" s="207" t="s">
        <v>86</v>
      </c>
    </row>
    <row r="4" spans="1:29" ht="20.25" customHeight="1" thickBot="1">
      <c r="A4" s="209"/>
      <c r="B4" s="796" t="s">
        <v>155</v>
      </c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815"/>
    </row>
    <row r="5" spans="1:38" ht="22.5" customHeight="1">
      <c r="A5" s="210">
        <v>1</v>
      </c>
      <c r="B5" s="211" t="s">
        <v>91</v>
      </c>
      <c r="C5" s="344" t="s">
        <v>156</v>
      </c>
      <c r="D5" s="221">
        <v>985</v>
      </c>
      <c r="E5" s="217">
        <v>1487.7</v>
      </c>
      <c r="F5" s="511">
        <v>911</v>
      </c>
      <c r="G5" s="214">
        <v>1375.42</v>
      </c>
      <c r="H5" s="512">
        <v>2122</v>
      </c>
      <c r="I5" s="224">
        <v>3204.4</v>
      </c>
      <c r="J5" s="513">
        <v>757</v>
      </c>
      <c r="K5" s="214">
        <v>1143.48</v>
      </c>
      <c r="L5" s="221">
        <v>415</v>
      </c>
      <c r="M5" s="217">
        <v>626.4</v>
      </c>
      <c r="N5" s="513"/>
      <c r="O5" s="214"/>
      <c r="P5" s="221"/>
      <c r="Q5" s="217"/>
      <c r="R5" s="513"/>
      <c r="S5" s="214"/>
      <c r="T5" s="221"/>
      <c r="U5" s="224"/>
      <c r="V5" s="513"/>
      <c r="W5" s="514"/>
      <c r="X5" s="221"/>
      <c r="Y5" s="224"/>
      <c r="Z5" s="513"/>
      <c r="AA5" s="514"/>
      <c r="AB5" s="515">
        <f aca="true" t="shared" si="0" ref="AB5:AC30">Z5+X5+V5+T5+R5+P5+N5+L5+J5+H5+F5+D5</f>
        <v>5190</v>
      </c>
      <c r="AC5" s="516">
        <f t="shared" si="0"/>
        <v>7837.400000000001</v>
      </c>
      <c r="AE5" s="226"/>
      <c r="AF5" s="226"/>
      <c r="AG5" s="226"/>
      <c r="AH5" s="226"/>
      <c r="AI5" s="226"/>
      <c r="AJ5" s="226"/>
      <c r="AK5" s="226"/>
      <c r="AL5" s="226"/>
    </row>
    <row r="6" spans="1:38" ht="21.75" customHeight="1">
      <c r="A6" s="227">
        <v>2</v>
      </c>
      <c r="B6" s="228" t="s">
        <v>93</v>
      </c>
      <c r="C6" s="517" t="s">
        <v>157</v>
      </c>
      <c r="D6" s="237"/>
      <c r="E6" s="233"/>
      <c r="F6" s="234"/>
      <c r="G6" s="230"/>
      <c r="H6" s="232"/>
      <c r="I6" s="239"/>
      <c r="J6" s="238"/>
      <c r="K6" s="230"/>
      <c r="L6" s="237"/>
      <c r="M6" s="233"/>
      <c r="N6" s="238"/>
      <c r="O6" s="230"/>
      <c r="P6" s="237"/>
      <c r="Q6" s="233"/>
      <c r="R6" s="238"/>
      <c r="S6" s="230"/>
      <c r="T6" s="237"/>
      <c r="U6" s="239"/>
      <c r="V6" s="238"/>
      <c r="W6" s="235"/>
      <c r="X6" s="237"/>
      <c r="Y6" s="239"/>
      <c r="Z6" s="238"/>
      <c r="AA6" s="235"/>
      <c r="AB6" s="518">
        <f t="shared" si="0"/>
        <v>0</v>
      </c>
      <c r="AC6" s="519">
        <f t="shared" si="0"/>
        <v>0</v>
      </c>
      <c r="AE6" s="226"/>
      <c r="AF6" s="226"/>
      <c r="AG6" s="226"/>
      <c r="AH6" s="226"/>
      <c r="AI6" s="226"/>
      <c r="AJ6" s="226"/>
      <c r="AK6" s="226"/>
      <c r="AL6" s="226"/>
    </row>
    <row r="7" spans="1:38" ht="24" customHeight="1">
      <c r="A7" s="227">
        <v>3</v>
      </c>
      <c r="B7" s="228" t="s">
        <v>17</v>
      </c>
      <c r="C7" s="359" t="s">
        <v>158</v>
      </c>
      <c r="D7" s="237">
        <v>724</v>
      </c>
      <c r="E7" s="233">
        <v>1069.61</v>
      </c>
      <c r="F7" s="234">
        <v>588</v>
      </c>
      <c r="G7" s="230">
        <v>868.69</v>
      </c>
      <c r="H7" s="232">
        <v>560</v>
      </c>
      <c r="I7" s="239">
        <v>827.32</v>
      </c>
      <c r="J7" s="238">
        <v>450</v>
      </c>
      <c r="K7" s="230">
        <v>664.81</v>
      </c>
      <c r="L7" s="237">
        <v>122</v>
      </c>
      <c r="M7" s="233">
        <v>180.23</v>
      </c>
      <c r="N7" s="238">
        <v>71</v>
      </c>
      <c r="O7" s="230">
        <v>104.89</v>
      </c>
      <c r="P7" s="237">
        <v>50</v>
      </c>
      <c r="Q7" s="233">
        <v>73.87</v>
      </c>
      <c r="R7" s="238">
        <v>61</v>
      </c>
      <c r="S7" s="230">
        <v>90.12</v>
      </c>
      <c r="T7" s="237">
        <v>99</v>
      </c>
      <c r="U7" s="239">
        <v>146.26</v>
      </c>
      <c r="V7" s="238">
        <v>205</v>
      </c>
      <c r="W7" s="235">
        <v>302.86</v>
      </c>
      <c r="X7" s="237">
        <v>425</v>
      </c>
      <c r="Y7" s="239">
        <v>627.88</v>
      </c>
      <c r="Z7" s="238">
        <v>609</v>
      </c>
      <c r="AA7" s="235">
        <v>899.71</v>
      </c>
      <c r="AB7" s="518">
        <f t="shared" si="0"/>
        <v>3964</v>
      </c>
      <c r="AC7" s="519">
        <f t="shared" si="0"/>
        <v>5856.25</v>
      </c>
      <c r="AE7" s="226"/>
      <c r="AF7" s="226"/>
      <c r="AG7" s="226"/>
      <c r="AH7" s="226"/>
      <c r="AI7" s="226"/>
      <c r="AJ7" s="226"/>
      <c r="AK7" s="226"/>
      <c r="AL7" s="226"/>
    </row>
    <row r="8" spans="1:38" ht="23.25" customHeight="1">
      <c r="A8" s="227">
        <v>4</v>
      </c>
      <c r="B8" s="228" t="s">
        <v>96</v>
      </c>
      <c r="C8" s="359" t="s">
        <v>97</v>
      </c>
      <c r="D8" s="237">
        <v>5150</v>
      </c>
      <c r="E8" s="233">
        <v>7629.09</v>
      </c>
      <c r="F8" s="234">
        <v>5050</v>
      </c>
      <c r="G8" s="230">
        <v>7481.35</v>
      </c>
      <c r="H8" s="232">
        <v>4200</v>
      </c>
      <c r="I8" s="239">
        <v>6221.16</v>
      </c>
      <c r="J8" s="238">
        <v>4100</v>
      </c>
      <c r="K8" s="230">
        <v>6073.42</v>
      </c>
      <c r="L8" s="237">
        <v>4250</v>
      </c>
      <c r="M8" s="233">
        <v>6295.03</v>
      </c>
      <c r="N8" s="238">
        <v>4550</v>
      </c>
      <c r="O8" s="230">
        <v>6739.71</v>
      </c>
      <c r="P8" s="237">
        <v>4450</v>
      </c>
      <c r="Q8" s="233">
        <v>6591.98</v>
      </c>
      <c r="R8" s="238">
        <v>4900</v>
      </c>
      <c r="S8" s="230">
        <v>7258.27</v>
      </c>
      <c r="T8" s="237">
        <v>4300</v>
      </c>
      <c r="U8" s="239">
        <v>6370.37</v>
      </c>
      <c r="V8" s="238">
        <v>4500</v>
      </c>
      <c r="W8" s="235">
        <v>6665.84</v>
      </c>
      <c r="X8" s="237">
        <v>4950</v>
      </c>
      <c r="Y8" s="239">
        <v>7332.14</v>
      </c>
      <c r="Z8" s="238">
        <v>5050</v>
      </c>
      <c r="AA8" s="235">
        <v>7481.35</v>
      </c>
      <c r="AB8" s="518">
        <f t="shared" si="0"/>
        <v>55450</v>
      </c>
      <c r="AC8" s="519">
        <f t="shared" si="0"/>
        <v>82139.70999999999</v>
      </c>
      <c r="AE8" s="226"/>
      <c r="AF8" s="226"/>
      <c r="AG8" s="226"/>
      <c r="AH8" s="226"/>
      <c r="AI8" s="226"/>
      <c r="AJ8" s="226"/>
      <c r="AK8" s="226"/>
      <c r="AL8" s="226"/>
    </row>
    <row r="9" spans="1:38" ht="24">
      <c r="A9" s="227">
        <v>5</v>
      </c>
      <c r="B9" s="228" t="s">
        <v>98</v>
      </c>
      <c r="C9" s="359" t="s">
        <v>99</v>
      </c>
      <c r="D9" s="237">
        <v>4213</v>
      </c>
      <c r="E9" s="233">
        <v>6454.59</v>
      </c>
      <c r="F9" s="234">
        <v>4464</v>
      </c>
      <c r="G9" s="230">
        <v>6838.7</v>
      </c>
      <c r="H9" s="237">
        <v>4981</v>
      </c>
      <c r="I9" s="239">
        <v>7630.56</v>
      </c>
      <c r="J9" s="238">
        <v>3140</v>
      </c>
      <c r="K9" s="230">
        <v>4810.28</v>
      </c>
      <c r="L9" s="237">
        <v>2679</v>
      </c>
      <c r="M9" s="233">
        <v>4104.11</v>
      </c>
      <c r="N9" s="238">
        <v>3257</v>
      </c>
      <c r="O9" s="230">
        <v>4990.52</v>
      </c>
      <c r="P9" s="237">
        <v>2480</v>
      </c>
      <c r="Q9" s="233">
        <v>3799.77</v>
      </c>
      <c r="R9" s="238">
        <v>2713</v>
      </c>
      <c r="S9" s="230">
        <v>4155.81</v>
      </c>
      <c r="T9" s="237">
        <v>2572</v>
      </c>
      <c r="U9" s="239">
        <v>3940.11</v>
      </c>
      <c r="V9" s="238">
        <v>2153</v>
      </c>
      <c r="W9" s="235">
        <v>3298.95</v>
      </c>
      <c r="X9" s="237">
        <v>2812</v>
      </c>
      <c r="Y9" s="239">
        <v>4307.98</v>
      </c>
      <c r="Z9" s="238">
        <v>3394</v>
      </c>
      <c r="AA9" s="235">
        <v>5200.31</v>
      </c>
      <c r="AB9" s="518">
        <f t="shared" si="0"/>
        <v>38858</v>
      </c>
      <c r="AC9" s="519">
        <f t="shared" si="0"/>
        <v>59531.69</v>
      </c>
      <c r="AE9" s="226"/>
      <c r="AF9" s="226"/>
      <c r="AG9" s="226"/>
      <c r="AH9" s="226"/>
      <c r="AI9" s="226"/>
      <c r="AJ9" s="226"/>
      <c r="AK9" s="226"/>
      <c r="AL9" s="226"/>
    </row>
    <row r="10" spans="1:38" ht="24" customHeight="1">
      <c r="A10" s="241">
        <v>6</v>
      </c>
      <c r="B10" s="228" t="s">
        <v>100</v>
      </c>
      <c r="C10" s="517" t="s">
        <v>101</v>
      </c>
      <c r="D10" s="237">
        <v>2216</v>
      </c>
      <c r="E10" s="233">
        <v>3349.17</v>
      </c>
      <c r="F10" s="238">
        <v>2689</v>
      </c>
      <c r="G10" s="230">
        <v>4064.22</v>
      </c>
      <c r="H10" s="237">
        <v>2127</v>
      </c>
      <c r="I10" s="239">
        <v>3214.73</v>
      </c>
      <c r="J10" s="238">
        <v>1211</v>
      </c>
      <c r="K10" s="230">
        <v>1830.45</v>
      </c>
      <c r="L10" s="237">
        <v>562</v>
      </c>
      <c r="M10" s="233">
        <v>849.48</v>
      </c>
      <c r="N10" s="238">
        <v>1058</v>
      </c>
      <c r="O10" s="230">
        <v>1598.5</v>
      </c>
      <c r="P10" s="237">
        <v>348</v>
      </c>
      <c r="Q10" s="233">
        <v>525.94</v>
      </c>
      <c r="R10" s="238">
        <v>740</v>
      </c>
      <c r="S10" s="230">
        <v>1118.36</v>
      </c>
      <c r="T10" s="237">
        <v>786</v>
      </c>
      <c r="U10" s="239">
        <v>1187.8</v>
      </c>
      <c r="V10" s="238">
        <v>763</v>
      </c>
      <c r="W10" s="235">
        <v>1153.82</v>
      </c>
      <c r="X10" s="237">
        <v>847</v>
      </c>
      <c r="Y10" s="239">
        <v>1279.39</v>
      </c>
      <c r="Z10" s="238">
        <v>1359</v>
      </c>
      <c r="AA10" s="235">
        <v>2053.53</v>
      </c>
      <c r="AB10" s="518">
        <f t="shared" si="0"/>
        <v>14706</v>
      </c>
      <c r="AC10" s="519">
        <f t="shared" si="0"/>
        <v>22225.39</v>
      </c>
      <c r="AE10" s="226"/>
      <c r="AF10" s="226"/>
      <c r="AG10" s="226"/>
      <c r="AH10" s="226"/>
      <c r="AI10" s="226"/>
      <c r="AJ10" s="226"/>
      <c r="AK10" s="226"/>
      <c r="AL10" s="226"/>
    </row>
    <row r="11" spans="1:38" ht="20.25" customHeight="1">
      <c r="A11" s="241">
        <v>7</v>
      </c>
      <c r="B11" s="228" t="s">
        <v>102</v>
      </c>
      <c r="C11" s="517" t="s">
        <v>104</v>
      </c>
      <c r="D11" s="520">
        <v>301908</v>
      </c>
      <c r="E11" s="233">
        <v>407223.31</v>
      </c>
      <c r="F11" s="238">
        <v>255534</v>
      </c>
      <c r="G11" s="230">
        <v>365615.41</v>
      </c>
      <c r="H11" s="237">
        <v>290004</v>
      </c>
      <c r="I11" s="233">
        <v>394802.06</v>
      </c>
      <c r="J11" s="238">
        <v>239471</v>
      </c>
      <c r="K11" s="230">
        <v>354740.64</v>
      </c>
      <c r="L11" s="237">
        <v>240799</v>
      </c>
      <c r="M11" s="233">
        <v>367818.73</v>
      </c>
      <c r="N11" s="238">
        <v>299307</v>
      </c>
      <c r="O11" s="230">
        <v>422508.29</v>
      </c>
      <c r="P11" s="237">
        <v>273955</v>
      </c>
      <c r="Q11" s="233">
        <v>405895.99</v>
      </c>
      <c r="R11" s="238">
        <v>260392</v>
      </c>
      <c r="S11" s="230">
        <v>391692.62</v>
      </c>
      <c r="T11" s="237">
        <v>257686</v>
      </c>
      <c r="U11" s="239">
        <v>399575.05</v>
      </c>
      <c r="V11" s="238">
        <v>333600</v>
      </c>
      <c r="W11" s="235">
        <v>471313.37</v>
      </c>
      <c r="X11" s="237">
        <v>351596</v>
      </c>
      <c r="Y11" s="233">
        <v>486304.45</v>
      </c>
      <c r="Z11" s="238">
        <v>388900</v>
      </c>
      <c r="AA11" s="230">
        <v>534420.34</v>
      </c>
      <c r="AB11" s="518">
        <f t="shared" si="0"/>
        <v>3493152</v>
      </c>
      <c r="AC11" s="519">
        <f t="shared" si="0"/>
        <v>5001910.26</v>
      </c>
      <c r="AE11" s="226"/>
      <c r="AF11" s="226"/>
      <c r="AG11" s="226"/>
      <c r="AH11" s="226"/>
      <c r="AI11" s="226"/>
      <c r="AJ11" s="226"/>
      <c r="AK11" s="226"/>
      <c r="AL11" s="226"/>
    </row>
    <row r="12" spans="1:38" ht="23.25" customHeight="1">
      <c r="A12" s="241">
        <v>8</v>
      </c>
      <c r="B12" s="228" t="s">
        <v>105</v>
      </c>
      <c r="C12" s="359" t="s">
        <v>159</v>
      </c>
      <c r="D12" s="237">
        <v>18650</v>
      </c>
      <c r="E12" s="233">
        <v>27552.76</v>
      </c>
      <c r="F12" s="238">
        <v>20350</v>
      </c>
      <c r="G12" s="230">
        <v>30064.28</v>
      </c>
      <c r="H12" s="237">
        <v>24520</v>
      </c>
      <c r="I12" s="239">
        <v>36224.87</v>
      </c>
      <c r="J12" s="238">
        <v>21160</v>
      </c>
      <c r="K12" s="230">
        <v>31260.94</v>
      </c>
      <c r="L12" s="237">
        <v>22093</v>
      </c>
      <c r="M12" s="233">
        <v>32639.32</v>
      </c>
      <c r="N12" s="238">
        <v>15900</v>
      </c>
      <c r="O12" s="230">
        <v>23490.02</v>
      </c>
      <c r="P12" s="237">
        <v>11587</v>
      </c>
      <c r="Q12" s="233">
        <v>17118.17</v>
      </c>
      <c r="R12" s="238">
        <v>15023</v>
      </c>
      <c r="S12" s="230">
        <v>22194.38</v>
      </c>
      <c r="T12" s="237">
        <v>25987</v>
      </c>
      <c r="U12" s="239">
        <v>38392.15</v>
      </c>
      <c r="V12" s="238">
        <v>33203</v>
      </c>
      <c r="W12" s="235">
        <v>49052.79</v>
      </c>
      <c r="X12" s="237">
        <v>30635</v>
      </c>
      <c r="Y12" s="239">
        <v>45258.92</v>
      </c>
      <c r="Z12" s="238">
        <v>33426</v>
      </c>
      <c r="AA12" s="235">
        <v>49382.23</v>
      </c>
      <c r="AB12" s="518">
        <f t="shared" si="0"/>
        <v>272534</v>
      </c>
      <c r="AC12" s="519">
        <f t="shared" si="0"/>
        <v>402630.82999999996</v>
      </c>
      <c r="AE12" s="226"/>
      <c r="AF12" s="226"/>
      <c r="AG12" s="226"/>
      <c r="AH12" s="226"/>
      <c r="AI12" s="226"/>
      <c r="AJ12" s="226"/>
      <c r="AK12" s="226"/>
      <c r="AL12" s="226"/>
    </row>
    <row r="13" spans="1:38" ht="23.25" customHeight="1">
      <c r="A13" s="241">
        <v>9</v>
      </c>
      <c r="B13" s="228" t="s">
        <v>18</v>
      </c>
      <c r="C13" s="517" t="s">
        <v>107</v>
      </c>
      <c r="D13" s="237">
        <v>1339</v>
      </c>
      <c r="E13" s="233">
        <v>2072.74</v>
      </c>
      <c r="F13" s="238">
        <v>1723</v>
      </c>
      <c r="G13" s="230">
        <v>2666.63</v>
      </c>
      <c r="H13" s="237">
        <v>1810</v>
      </c>
      <c r="I13" s="239">
        <v>2801.07</v>
      </c>
      <c r="J13" s="238">
        <v>827</v>
      </c>
      <c r="K13" s="230">
        <v>1279.39</v>
      </c>
      <c r="L13" s="237">
        <v>192</v>
      </c>
      <c r="M13" s="233">
        <v>296.95</v>
      </c>
      <c r="N13" s="238">
        <v>101</v>
      </c>
      <c r="O13" s="230">
        <v>156.6</v>
      </c>
      <c r="P13" s="237">
        <v>83</v>
      </c>
      <c r="Q13" s="233">
        <v>128.53</v>
      </c>
      <c r="R13" s="238">
        <v>50</v>
      </c>
      <c r="S13" s="230">
        <v>76.82</v>
      </c>
      <c r="T13" s="237">
        <v>160</v>
      </c>
      <c r="U13" s="239">
        <v>248.2</v>
      </c>
      <c r="V13" s="238">
        <v>468</v>
      </c>
      <c r="W13" s="235">
        <v>723.91</v>
      </c>
      <c r="X13" s="237">
        <v>967</v>
      </c>
      <c r="Y13" s="239">
        <v>1496.57</v>
      </c>
      <c r="Z13" s="238">
        <v>1393</v>
      </c>
      <c r="AA13" s="235">
        <v>2155.47</v>
      </c>
      <c r="AB13" s="518">
        <f t="shared" si="0"/>
        <v>9113</v>
      </c>
      <c r="AC13" s="519">
        <f t="shared" si="0"/>
        <v>14102.88</v>
      </c>
      <c r="AE13" s="226"/>
      <c r="AF13" s="226"/>
      <c r="AG13" s="226"/>
      <c r="AH13" s="226"/>
      <c r="AI13" s="226"/>
      <c r="AJ13" s="226"/>
      <c r="AK13" s="226"/>
      <c r="AL13" s="226"/>
    </row>
    <row r="14" spans="1:38" ht="24.75" customHeight="1">
      <c r="A14" s="241">
        <v>10</v>
      </c>
      <c r="B14" s="521" t="s">
        <v>108</v>
      </c>
      <c r="C14" s="359" t="s">
        <v>110</v>
      </c>
      <c r="D14" s="237">
        <v>760</v>
      </c>
      <c r="E14" s="233">
        <v>1122.79</v>
      </c>
      <c r="F14" s="243">
        <v>760</v>
      </c>
      <c r="G14" s="230">
        <v>1122.79</v>
      </c>
      <c r="H14" s="237">
        <v>380</v>
      </c>
      <c r="I14" s="239">
        <v>561.4</v>
      </c>
      <c r="J14" s="238"/>
      <c r="K14" s="230"/>
      <c r="L14" s="237"/>
      <c r="M14" s="233"/>
      <c r="N14" s="238"/>
      <c r="O14" s="230"/>
      <c r="P14" s="237"/>
      <c r="Q14" s="233"/>
      <c r="R14" s="238"/>
      <c r="S14" s="230"/>
      <c r="T14" s="237"/>
      <c r="U14" s="239"/>
      <c r="V14" s="238"/>
      <c r="W14" s="235"/>
      <c r="X14" s="237"/>
      <c r="Y14" s="239"/>
      <c r="Z14" s="238"/>
      <c r="AA14" s="235"/>
      <c r="AB14" s="518">
        <f t="shared" si="0"/>
        <v>1900</v>
      </c>
      <c r="AC14" s="519">
        <f t="shared" si="0"/>
        <v>2806.98</v>
      </c>
      <c r="AE14" s="226"/>
      <c r="AF14" s="226"/>
      <c r="AG14" s="226"/>
      <c r="AH14" s="226"/>
      <c r="AI14" s="226"/>
      <c r="AJ14" s="226"/>
      <c r="AK14" s="226"/>
      <c r="AL14" s="226"/>
    </row>
    <row r="15" spans="1:29" ht="25.5" customHeight="1">
      <c r="A15" s="241">
        <v>11</v>
      </c>
      <c r="B15" s="228" t="s">
        <v>19</v>
      </c>
      <c r="C15" s="517" t="s">
        <v>160</v>
      </c>
      <c r="D15" s="522"/>
      <c r="E15" s="233"/>
      <c r="F15" s="243"/>
      <c r="G15" s="230"/>
      <c r="H15" s="523"/>
      <c r="I15" s="239"/>
      <c r="J15" s="238">
        <v>1000</v>
      </c>
      <c r="K15" s="230">
        <v>1600</v>
      </c>
      <c r="L15" s="237"/>
      <c r="M15" s="524"/>
      <c r="N15" s="263"/>
      <c r="O15" s="262"/>
      <c r="P15" s="258"/>
      <c r="Q15" s="524"/>
      <c r="R15" s="238"/>
      <c r="S15" s="230"/>
      <c r="T15" s="258"/>
      <c r="U15" s="259"/>
      <c r="V15" s="255"/>
      <c r="W15" s="256"/>
      <c r="X15" s="258"/>
      <c r="Y15" s="259"/>
      <c r="Z15" s="263"/>
      <c r="AA15" s="264"/>
      <c r="AB15" s="518">
        <f t="shared" si="0"/>
        <v>1000</v>
      </c>
      <c r="AC15" s="519">
        <f t="shared" si="0"/>
        <v>1600</v>
      </c>
    </row>
    <row r="16" spans="1:29" ht="26.25" customHeight="1">
      <c r="A16" s="241">
        <v>12</v>
      </c>
      <c r="B16" s="228" t="s">
        <v>112</v>
      </c>
      <c r="C16" s="517" t="s">
        <v>161</v>
      </c>
      <c r="D16" s="252">
        <v>2000</v>
      </c>
      <c r="E16" s="233">
        <v>1800</v>
      </c>
      <c r="F16" s="243">
        <v>1960</v>
      </c>
      <c r="G16" s="230">
        <v>1764</v>
      </c>
      <c r="H16" s="237">
        <v>1520</v>
      </c>
      <c r="I16" s="239">
        <v>1368</v>
      </c>
      <c r="J16" s="238">
        <v>800</v>
      </c>
      <c r="K16" s="230">
        <v>720</v>
      </c>
      <c r="L16" s="237">
        <v>1200</v>
      </c>
      <c r="M16" s="253">
        <v>1080</v>
      </c>
      <c r="N16" s="263"/>
      <c r="O16" s="262"/>
      <c r="P16" s="252">
        <v>760</v>
      </c>
      <c r="Q16" s="253">
        <v>684</v>
      </c>
      <c r="R16" s="238"/>
      <c r="S16" s="230"/>
      <c r="T16" s="252"/>
      <c r="U16" s="260"/>
      <c r="V16" s="263"/>
      <c r="W16" s="264"/>
      <c r="X16" s="252"/>
      <c r="Y16" s="260"/>
      <c r="Z16" s="263"/>
      <c r="AA16" s="264"/>
      <c r="AB16" s="518">
        <f t="shared" si="0"/>
        <v>8240</v>
      </c>
      <c r="AC16" s="519">
        <f t="shared" si="0"/>
        <v>7416</v>
      </c>
    </row>
    <row r="17" spans="1:29" ht="39.75" customHeight="1">
      <c r="A17" s="241">
        <v>13</v>
      </c>
      <c r="B17" s="228" t="s">
        <v>162</v>
      </c>
      <c r="C17" s="517" t="s">
        <v>163</v>
      </c>
      <c r="D17" s="252"/>
      <c r="E17" s="233"/>
      <c r="F17" s="243"/>
      <c r="G17" s="230"/>
      <c r="H17" s="237"/>
      <c r="I17" s="239"/>
      <c r="J17" s="238"/>
      <c r="K17" s="230"/>
      <c r="L17" s="237"/>
      <c r="M17" s="253"/>
      <c r="N17" s="263"/>
      <c r="O17" s="262"/>
      <c r="P17" s="252"/>
      <c r="Q17" s="253"/>
      <c r="R17" s="238">
        <v>800</v>
      </c>
      <c r="S17" s="230">
        <v>720</v>
      </c>
      <c r="T17" s="252">
        <v>800</v>
      </c>
      <c r="U17" s="260">
        <v>720</v>
      </c>
      <c r="V17" s="263"/>
      <c r="W17" s="264"/>
      <c r="X17" s="252"/>
      <c r="Y17" s="260"/>
      <c r="Z17" s="263"/>
      <c r="AA17" s="264"/>
      <c r="AB17" s="518">
        <f t="shared" si="0"/>
        <v>1600</v>
      </c>
      <c r="AC17" s="519">
        <f t="shared" si="0"/>
        <v>1440</v>
      </c>
    </row>
    <row r="18" spans="1:29" ht="24.75" customHeight="1">
      <c r="A18" s="241">
        <v>14</v>
      </c>
      <c r="B18" s="228" t="s">
        <v>20</v>
      </c>
      <c r="C18" s="517" t="s">
        <v>114</v>
      </c>
      <c r="D18" s="252"/>
      <c r="E18" s="233"/>
      <c r="F18" s="243">
        <v>902</v>
      </c>
      <c r="G18" s="230">
        <v>1443.2</v>
      </c>
      <c r="H18" s="237">
        <v>355</v>
      </c>
      <c r="I18" s="239">
        <v>568</v>
      </c>
      <c r="J18" s="238">
        <v>701</v>
      </c>
      <c r="K18" s="230">
        <v>1121.6</v>
      </c>
      <c r="L18" s="237"/>
      <c r="M18" s="233"/>
      <c r="N18" s="263">
        <v>802</v>
      </c>
      <c r="O18" s="262">
        <v>1283.2</v>
      </c>
      <c r="P18" s="237"/>
      <c r="Q18" s="233"/>
      <c r="R18" s="238">
        <v>758</v>
      </c>
      <c r="S18" s="230">
        <v>1212.8</v>
      </c>
      <c r="T18" s="252">
        <v>599</v>
      </c>
      <c r="U18" s="260">
        <v>958.4</v>
      </c>
      <c r="V18" s="263"/>
      <c r="W18" s="264"/>
      <c r="X18" s="252">
        <v>1104</v>
      </c>
      <c r="Y18" s="260">
        <v>1766.4</v>
      </c>
      <c r="Z18" s="263"/>
      <c r="AA18" s="264"/>
      <c r="AB18" s="518">
        <f t="shared" si="0"/>
        <v>5221</v>
      </c>
      <c r="AC18" s="519">
        <f t="shared" si="0"/>
        <v>8353.6</v>
      </c>
    </row>
    <row r="19" spans="1:29" ht="20.25" customHeight="1">
      <c r="A19" s="241">
        <v>15</v>
      </c>
      <c r="B19" s="228" t="s">
        <v>21</v>
      </c>
      <c r="C19" s="517" t="s">
        <v>115</v>
      </c>
      <c r="D19" s="252">
        <v>3845</v>
      </c>
      <c r="E19" s="233">
        <v>5081.55</v>
      </c>
      <c r="F19" s="238">
        <v>7928</v>
      </c>
      <c r="G19" s="230">
        <v>10477.64</v>
      </c>
      <c r="H19" s="237"/>
      <c r="I19" s="239"/>
      <c r="J19" s="238">
        <v>5917</v>
      </c>
      <c r="K19" s="230">
        <v>7819.91</v>
      </c>
      <c r="L19" s="237">
        <v>3505</v>
      </c>
      <c r="M19" s="233">
        <v>4632.21</v>
      </c>
      <c r="N19" s="263">
        <v>3611</v>
      </c>
      <c r="O19" s="262">
        <v>4772.3</v>
      </c>
      <c r="P19" s="237">
        <v>3240</v>
      </c>
      <c r="Q19" s="233">
        <v>4281.98</v>
      </c>
      <c r="R19" s="263">
        <v>3600</v>
      </c>
      <c r="S19" s="262">
        <v>4757.76</v>
      </c>
      <c r="T19" s="252">
        <v>4800</v>
      </c>
      <c r="U19" s="260">
        <v>6343.68</v>
      </c>
      <c r="V19" s="263">
        <v>5372</v>
      </c>
      <c r="W19" s="264">
        <v>7099.64</v>
      </c>
      <c r="X19" s="252">
        <v>6353</v>
      </c>
      <c r="Y19" s="260">
        <v>8396.12</v>
      </c>
      <c r="Z19" s="263">
        <v>14240</v>
      </c>
      <c r="AA19" s="264">
        <v>18819.58</v>
      </c>
      <c r="AB19" s="518">
        <f t="shared" si="0"/>
        <v>62411</v>
      </c>
      <c r="AC19" s="519">
        <f t="shared" si="0"/>
        <v>82482.37000000001</v>
      </c>
    </row>
    <row r="20" spans="1:29" ht="24.75" customHeight="1">
      <c r="A20" s="241">
        <v>16</v>
      </c>
      <c r="B20" s="228" t="s">
        <v>116</v>
      </c>
      <c r="C20" s="517" t="s">
        <v>117</v>
      </c>
      <c r="D20" s="252">
        <v>467560</v>
      </c>
      <c r="E20" s="233">
        <v>1103406.11</v>
      </c>
      <c r="F20" s="238">
        <v>952120</v>
      </c>
      <c r="G20" s="230">
        <v>1389843.93</v>
      </c>
      <c r="H20" s="237">
        <v>933300</v>
      </c>
      <c r="I20" s="239">
        <v>1376919.11</v>
      </c>
      <c r="J20" s="238">
        <v>793140</v>
      </c>
      <c r="K20" s="230">
        <v>1334397.42</v>
      </c>
      <c r="L20" s="237">
        <v>812620</v>
      </c>
      <c r="M20" s="233">
        <v>1239524.91</v>
      </c>
      <c r="N20" s="263">
        <v>863120</v>
      </c>
      <c r="O20" s="262">
        <v>1274206.29</v>
      </c>
      <c r="P20" s="237">
        <v>841680</v>
      </c>
      <c r="Q20" s="233">
        <v>1259482.16</v>
      </c>
      <c r="R20" s="263">
        <v>577560</v>
      </c>
      <c r="S20" s="262">
        <v>1078095.11</v>
      </c>
      <c r="T20" s="252">
        <v>771200</v>
      </c>
      <c r="U20" s="260">
        <v>1238337.31</v>
      </c>
      <c r="V20" s="263">
        <v>930544</v>
      </c>
      <c r="W20" s="262">
        <v>1375026.4</v>
      </c>
      <c r="X20" s="252">
        <v>992916</v>
      </c>
      <c r="Y20" s="260">
        <v>1417860.99</v>
      </c>
      <c r="Z20" s="263">
        <v>870988</v>
      </c>
      <c r="AA20" s="264">
        <v>1334125.72</v>
      </c>
      <c r="AB20" s="518">
        <f t="shared" si="0"/>
        <v>9806748</v>
      </c>
      <c r="AC20" s="519">
        <f t="shared" si="0"/>
        <v>15421225.459999999</v>
      </c>
    </row>
    <row r="21" spans="1:29" ht="22.5" customHeight="1">
      <c r="A21" s="241">
        <v>17</v>
      </c>
      <c r="B21" s="228" t="s">
        <v>22</v>
      </c>
      <c r="C21" s="517" t="s">
        <v>118</v>
      </c>
      <c r="D21" s="252">
        <v>631</v>
      </c>
      <c r="E21" s="233">
        <v>936.65</v>
      </c>
      <c r="F21" s="243">
        <v>798</v>
      </c>
      <c r="G21" s="230">
        <v>1184.84</v>
      </c>
      <c r="H21" s="237">
        <v>910</v>
      </c>
      <c r="I21" s="239">
        <v>1351.78</v>
      </c>
      <c r="J21" s="238">
        <v>297</v>
      </c>
      <c r="K21" s="230">
        <v>441.73</v>
      </c>
      <c r="L21" s="237"/>
      <c r="M21" s="253"/>
      <c r="N21" s="263">
        <v>829</v>
      </c>
      <c r="O21" s="262">
        <v>1212.99</v>
      </c>
      <c r="P21" s="237"/>
      <c r="Q21" s="233"/>
      <c r="R21" s="263"/>
      <c r="S21" s="262"/>
      <c r="T21" s="252"/>
      <c r="U21" s="260"/>
      <c r="V21" s="263"/>
      <c r="W21" s="264"/>
      <c r="X21" s="252"/>
      <c r="Y21" s="260"/>
      <c r="Z21" s="263">
        <v>2482</v>
      </c>
      <c r="AA21" s="264">
        <v>3686.01</v>
      </c>
      <c r="AB21" s="518">
        <f t="shared" si="0"/>
        <v>5947</v>
      </c>
      <c r="AC21" s="519">
        <f t="shared" si="0"/>
        <v>8814</v>
      </c>
    </row>
    <row r="22" spans="1:30" ht="58.5" customHeight="1">
      <c r="A22" s="241">
        <v>18</v>
      </c>
      <c r="B22" s="521" t="s">
        <v>30</v>
      </c>
      <c r="C22" s="517" t="s">
        <v>164</v>
      </c>
      <c r="D22" s="525"/>
      <c r="E22" s="526"/>
      <c r="F22" s="285"/>
      <c r="G22" s="286"/>
      <c r="H22" s="527"/>
      <c r="I22" s="289"/>
      <c r="J22" s="238"/>
      <c r="K22" s="286"/>
      <c r="L22" s="252"/>
      <c r="M22" s="233"/>
      <c r="N22" s="243">
        <v>4516</v>
      </c>
      <c r="O22" s="230">
        <v>4064.4</v>
      </c>
      <c r="P22" s="237">
        <v>4864</v>
      </c>
      <c r="Q22" s="239">
        <v>4377.6</v>
      </c>
      <c r="R22" s="263">
        <v>3420</v>
      </c>
      <c r="S22" s="262">
        <v>3078</v>
      </c>
      <c r="T22" s="252"/>
      <c r="U22" s="260"/>
      <c r="V22" s="263">
        <v>9200</v>
      </c>
      <c r="W22" s="264">
        <v>8280</v>
      </c>
      <c r="X22" s="528"/>
      <c r="Y22" s="260"/>
      <c r="Z22" s="360"/>
      <c r="AA22" s="264"/>
      <c r="AB22" s="518">
        <f t="shared" si="0"/>
        <v>22000</v>
      </c>
      <c r="AC22" s="519">
        <f t="shared" si="0"/>
        <v>19800</v>
      </c>
      <c r="AD22" s="529">
        <f>AB5+AB7+AB8+AB9+AB10+AB11+AB12+AB13+AB14+AB21+AB26</f>
        <v>4140847</v>
      </c>
    </row>
    <row r="23" spans="1:32" ht="24.75" customHeight="1">
      <c r="A23" s="241">
        <v>19</v>
      </c>
      <c r="B23" s="521" t="s">
        <v>24</v>
      </c>
      <c r="C23" s="517" t="s">
        <v>121</v>
      </c>
      <c r="D23" s="252">
        <v>2060</v>
      </c>
      <c r="E23" s="260">
        <v>3043.36</v>
      </c>
      <c r="F23" s="263">
        <v>2060</v>
      </c>
      <c r="G23" s="264">
        <v>3014.19</v>
      </c>
      <c r="H23" s="252">
        <v>2360</v>
      </c>
      <c r="I23" s="530">
        <v>3453.15</v>
      </c>
      <c r="J23" s="238">
        <v>2560</v>
      </c>
      <c r="K23" s="262">
        <v>3745.79</v>
      </c>
      <c r="L23" s="252">
        <v>2361</v>
      </c>
      <c r="M23" s="233">
        <v>3454.62</v>
      </c>
      <c r="N23" s="243">
        <v>1921</v>
      </c>
      <c r="O23" s="230">
        <v>2810.81</v>
      </c>
      <c r="P23" s="237">
        <v>2356</v>
      </c>
      <c r="Q23" s="239">
        <v>3447.3</v>
      </c>
      <c r="R23" s="263">
        <v>1994</v>
      </c>
      <c r="S23" s="262">
        <v>2917.62</v>
      </c>
      <c r="T23" s="252">
        <v>1756</v>
      </c>
      <c r="U23" s="260">
        <v>2569.38</v>
      </c>
      <c r="V23" s="263">
        <v>2152</v>
      </c>
      <c r="W23" s="264">
        <v>3148.81</v>
      </c>
      <c r="X23" s="528">
        <v>2736</v>
      </c>
      <c r="Y23" s="260">
        <v>4003.32</v>
      </c>
      <c r="Z23" s="360">
        <v>2560</v>
      </c>
      <c r="AA23" s="264">
        <v>3745.79</v>
      </c>
      <c r="AB23" s="518">
        <f t="shared" si="0"/>
        <v>26876</v>
      </c>
      <c r="AC23" s="519">
        <f t="shared" si="0"/>
        <v>39354.14</v>
      </c>
      <c r="AD23" s="324"/>
      <c r="AE23" s="324"/>
      <c r="AF23" s="324"/>
    </row>
    <row r="24" spans="1:32" ht="24.75" customHeight="1">
      <c r="A24" s="241">
        <v>20</v>
      </c>
      <c r="B24" s="521" t="s">
        <v>31</v>
      </c>
      <c r="C24" s="517" t="s">
        <v>165</v>
      </c>
      <c r="D24" s="252"/>
      <c r="E24" s="260"/>
      <c r="F24" s="263"/>
      <c r="G24" s="264"/>
      <c r="H24" s="252"/>
      <c r="I24" s="530"/>
      <c r="J24" s="238"/>
      <c r="K24" s="262"/>
      <c r="L24" s="252"/>
      <c r="M24" s="233"/>
      <c r="N24" s="243"/>
      <c r="O24" s="230"/>
      <c r="P24" s="237"/>
      <c r="Q24" s="239"/>
      <c r="R24" s="263"/>
      <c r="S24" s="262"/>
      <c r="T24" s="252"/>
      <c r="U24" s="260"/>
      <c r="V24" s="263"/>
      <c r="W24" s="264"/>
      <c r="X24" s="528"/>
      <c r="Y24" s="260"/>
      <c r="Z24" s="360">
        <v>84</v>
      </c>
      <c r="AA24" s="264">
        <v>134.4</v>
      </c>
      <c r="AB24" s="518">
        <f t="shared" si="0"/>
        <v>84</v>
      </c>
      <c r="AC24" s="519">
        <f t="shared" si="0"/>
        <v>134.4</v>
      </c>
      <c r="AD24" s="324"/>
      <c r="AE24" s="324"/>
      <c r="AF24" s="324"/>
    </row>
    <row r="25" spans="1:29" ht="24.75" customHeight="1">
      <c r="A25" s="531">
        <v>21</v>
      </c>
      <c r="B25" s="358" t="s">
        <v>122</v>
      </c>
      <c r="C25" s="517" t="s">
        <v>123</v>
      </c>
      <c r="D25" s="252">
        <v>12000</v>
      </c>
      <c r="E25" s="260">
        <v>17728.32</v>
      </c>
      <c r="F25" s="238">
        <v>11086</v>
      </c>
      <c r="G25" s="235">
        <v>16378.01</v>
      </c>
      <c r="H25" s="252">
        <v>18309</v>
      </c>
      <c r="I25" s="239">
        <v>27048.99</v>
      </c>
      <c r="J25" s="285"/>
      <c r="K25" s="286"/>
      <c r="L25" s="288"/>
      <c r="M25" s="532"/>
      <c r="N25" s="263"/>
      <c r="O25" s="262"/>
      <c r="P25" s="237"/>
      <c r="Q25" s="233"/>
      <c r="R25" s="263"/>
      <c r="S25" s="262"/>
      <c r="T25" s="252"/>
      <c r="U25" s="260"/>
      <c r="V25" s="263"/>
      <c r="W25" s="264"/>
      <c r="X25" s="528"/>
      <c r="Y25" s="260"/>
      <c r="Z25" s="360"/>
      <c r="AA25" s="264"/>
      <c r="AB25" s="518">
        <f t="shared" si="0"/>
        <v>41395</v>
      </c>
      <c r="AC25" s="519">
        <f t="shared" si="0"/>
        <v>61155.32</v>
      </c>
    </row>
    <row r="26" spans="1:29" ht="24.75" customHeight="1">
      <c r="A26" s="531">
        <v>22</v>
      </c>
      <c r="B26" s="358" t="s">
        <v>166</v>
      </c>
      <c r="C26" s="517" t="s">
        <v>167</v>
      </c>
      <c r="D26" s="252"/>
      <c r="E26" s="260"/>
      <c r="F26" s="238"/>
      <c r="G26" s="235"/>
      <c r="H26" s="252"/>
      <c r="I26" s="239"/>
      <c r="J26" s="238">
        <v>24100</v>
      </c>
      <c r="K26" s="230">
        <v>35604.38</v>
      </c>
      <c r="L26" s="237">
        <v>21933</v>
      </c>
      <c r="M26" s="253">
        <v>32402.94</v>
      </c>
      <c r="N26" s="263">
        <v>21960</v>
      </c>
      <c r="O26" s="262">
        <v>32442.83</v>
      </c>
      <c r="P26" s="237">
        <v>35600</v>
      </c>
      <c r="Q26" s="233">
        <v>52594.02</v>
      </c>
      <c r="R26" s="263">
        <v>31480</v>
      </c>
      <c r="S26" s="262">
        <v>46507.29</v>
      </c>
      <c r="T26" s="252">
        <v>32020</v>
      </c>
      <c r="U26" s="260">
        <v>47305.07</v>
      </c>
      <c r="V26" s="263">
        <v>22900</v>
      </c>
      <c r="W26" s="264">
        <v>33831.54</v>
      </c>
      <c r="X26" s="528">
        <v>25060</v>
      </c>
      <c r="Y26" s="260">
        <v>37022.64</v>
      </c>
      <c r="Z26" s="360">
        <v>24980</v>
      </c>
      <c r="AA26" s="264">
        <v>36904.45</v>
      </c>
      <c r="AB26" s="518">
        <f t="shared" si="0"/>
        <v>240033</v>
      </c>
      <c r="AC26" s="519">
        <f t="shared" si="0"/>
        <v>354615.16000000003</v>
      </c>
    </row>
    <row r="27" spans="1:29" ht="24.75" customHeight="1">
      <c r="A27" s="531">
        <v>23</v>
      </c>
      <c r="B27" s="358" t="s">
        <v>168</v>
      </c>
      <c r="C27" s="517" t="s">
        <v>169</v>
      </c>
      <c r="D27" s="252">
        <v>132765</v>
      </c>
      <c r="E27" s="260">
        <v>262903.09</v>
      </c>
      <c r="F27" s="252">
        <v>147141</v>
      </c>
      <c r="G27" s="260">
        <v>286950.11</v>
      </c>
      <c r="H27" s="252">
        <v>156891</v>
      </c>
      <c r="I27" s="239">
        <v>279471.86</v>
      </c>
      <c r="J27" s="238">
        <v>146309</v>
      </c>
      <c r="K27" s="230">
        <v>297410.59</v>
      </c>
      <c r="L27" s="237">
        <v>119475</v>
      </c>
      <c r="M27" s="253">
        <v>234695.46</v>
      </c>
      <c r="N27" s="263">
        <v>132772</v>
      </c>
      <c r="O27" s="262">
        <v>253367.6</v>
      </c>
      <c r="P27" s="237">
        <v>124798</v>
      </c>
      <c r="Q27" s="233">
        <v>237805.91</v>
      </c>
      <c r="R27" s="263">
        <v>149357</v>
      </c>
      <c r="S27" s="262">
        <v>240497.89</v>
      </c>
      <c r="T27" s="252">
        <v>189393</v>
      </c>
      <c r="U27" s="260">
        <v>285438.14</v>
      </c>
      <c r="V27" s="263">
        <v>213683</v>
      </c>
      <c r="W27" s="264">
        <v>315748.55</v>
      </c>
      <c r="X27" s="528">
        <v>222213</v>
      </c>
      <c r="Y27" s="260">
        <v>321606.6</v>
      </c>
      <c r="Z27" s="360">
        <v>227023</v>
      </c>
      <c r="AA27" s="264">
        <v>324909.92</v>
      </c>
      <c r="AB27" s="518">
        <f t="shared" si="0"/>
        <v>1961820</v>
      </c>
      <c r="AC27" s="519">
        <f t="shared" si="0"/>
        <v>3340805.7199999997</v>
      </c>
    </row>
    <row r="28" spans="1:29" ht="24.75" customHeight="1">
      <c r="A28" s="531">
        <v>24</v>
      </c>
      <c r="B28" s="358" t="s">
        <v>26</v>
      </c>
      <c r="C28" s="517" t="s">
        <v>170</v>
      </c>
      <c r="D28" s="252">
        <v>277753</v>
      </c>
      <c r="E28" s="260">
        <v>599619.66</v>
      </c>
      <c r="F28" s="238">
        <v>386852</v>
      </c>
      <c r="G28" s="235">
        <v>674544.48</v>
      </c>
      <c r="H28" s="252">
        <v>463063</v>
      </c>
      <c r="I28" s="239">
        <v>747871.81</v>
      </c>
      <c r="J28" s="238">
        <v>408787</v>
      </c>
      <c r="K28" s="230">
        <v>686396.06</v>
      </c>
      <c r="L28" s="237">
        <v>318908</v>
      </c>
      <c r="M28" s="253">
        <v>600625.26</v>
      </c>
      <c r="N28" s="263">
        <v>421756</v>
      </c>
      <c r="O28" s="262">
        <v>657628.15</v>
      </c>
      <c r="P28" s="237">
        <v>403823</v>
      </c>
      <c r="Q28" s="233">
        <v>637135.09</v>
      </c>
      <c r="R28" s="263">
        <v>441752</v>
      </c>
      <c r="S28" s="262">
        <v>663183.2</v>
      </c>
      <c r="T28" s="252">
        <v>383395</v>
      </c>
      <c r="U28" s="260">
        <v>625831.75</v>
      </c>
      <c r="V28" s="263">
        <v>455778</v>
      </c>
      <c r="W28" s="264">
        <v>680993.1</v>
      </c>
      <c r="X28" s="528">
        <v>431402</v>
      </c>
      <c r="Y28" s="260">
        <v>677881.64</v>
      </c>
      <c r="Z28" s="360">
        <v>372021</v>
      </c>
      <c r="AA28" s="264">
        <v>650730.14</v>
      </c>
      <c r="AB28" s="518">
        <f t="shared" si="0"/>
        <v>4765290</v>
      </c>
      <c r="AC28" s="519">
        <f t="shared" si="0"/>
        <v>7902440.340000002</v>
      </c>
    </row>
    <row r="29" spans="1:29" ht="24.75" customHeight="1">
      <c r="A29" s="531">
        <v>25</v>
      </c>
      <c r="B29" s="358" t="s">
        <v>27</v>
      </c>
      <c r="C29" s="517" t="s">
        <v>171</v>
      </c>
      <c r="D29" s="252">
        <v>191400</v>
      </c>
      <c r="E29" s="260">
        <v>687509.06</v>
      </c>
      <c r="F29" s="238">
        <v>381623</v>
      </c>
      <c r="G29" s="235">
        <v>818146.62</v>
      </c>
      <c r="H29" s="252">
        <v>456830</v>
      </c>
      <c r="I29" s="239">
        <v>869795.77</v>
      </c>
      <c r="J29" s="238">
        <v>577616</v>
      </c>
      <c r="K29" s="230">
        <v>873627.84</v>
      </c>
      <c r="L29" s="237">
        <v>221465</v>
      </c>
      <c r="M29" s="253">
        <v>615479.3</v>
      </c>
      <c r="N29" s="263">
        <v>404816</v>
      </c>
      <c r="O29" s="262">
        <v>741397.43</v>
      </c>
      <c r="P29" s="237">
        <v>396934</v>
      </c>
      <c r="Q29" s="233">
        <v>735984.4</v>
      </c>
      <c r="R29" s="263">
        <v>303903</v>
      </c>
      <c r="S29" s="262">
        <v>672094.43</v>
      </c>
      <c r="T29" s="252">
        <v>300498</v>
      </c>
      <c r="U29" s="260">
        <v>574353.01</v>
      </c>
      <c r="V29" s="263">
        <v>429363</v>
      </c>
      <c r="W29" s="264">
        <v>675936.17</v>
      </c>
      <c r="X29" s="528">
        <v>410860</v>
      </c>
      <c r="Y29" s="260">
        <v>677403.22</v>
      </c>
      <c r="Z29" s="360">
        <v>413089</v>
      </c>
      <c r="AA29" s="264">
        <v>692563</v>
      </c>
      <c r="AB29" s="518">
        <f t="shared" si="0"/>
        <v>4488397</v>
      </c>
      <c r="AC29" s="519">
        <f t="shared" si="0"/>
        <v>8634290.25</v>
      </c>
    </row>
    <row r="30" spans="1:32" ht="24.75" customHeight="1" thickBot="1">
      <c r="A30" s="533">
        <v>26</v>
      </c>
      <c r="B30" s="338" t="s">
        <v>28</v>
      </c>
      <c r="C30" s="397" t="s">
        <v>172</v>
      </c>
      <c r="D30" s="277"/>
      <c r="E30" s="283"/>
      <c r="F30" s="271"/>
      <c r="G30" s="272"/>
      <c r="H30" s="277"/>
      <c r="I30" s="405"/>
      <c r="J30" s="271"/>
      <c r="K30" s="268"/>
      <c r="L30" s="274"/>
      <c r="M30" s="278"/>
      <c r="N30" s="280"/>
      <c r="O30" s="306"/>
      <c r="P30" s="274">
        <v>6398000</v>
      </c>
      <c r="Q30" s="270">
        <v>8040465.72</v>
      </c>
      <c r="R30" s="280">
        <v>6290000</v>
      </c>
      <c r="S30" s="306">
        <v>7645196.4</v>
      </c>
      <c r="T30" s="277">
        <v>6010156</v>
      </c>
      <c r="U30" s="283">
        <v>7789919.62</v>
      </c>
      <c r="V30" s="280">
        <v>6180950</v>
      </c>
      <c r="W30" s="534">
        <v>7690240.42</v>
      </c>
      <c r="X30" s="535">
        <v>6254168</v>
      </c>
      <c r="Y30" s="283">
        <v>7856915.28</v>
      </c>
      <c r="Z30" s="536">
        <v>5965074</v>
      </c>
      <c r="AA30" s="281">
        <v>7557522.48</v>
      </c>
      <c r="AB30" s="537">
        <f t="shared" si="0"/>
        <v>37098348</v>
      </c>
      <c r="AC30" s="538">
        <f t="shared" si="0"/>
        <v>46580259.92</v>
      </c>
      <c r="AD30" s="529">
        <f>AB5+AB7+AB8+AB6+AB7+AB8+AB9+AB10+AB11+AB12</f>
        <v>3943268</v>
      </c>
      <c r="AE30" s="529">
        <f>AD30*0.012*1.18</f>
        <v>55836.67488</v>
      </c>
      <c r="AF30" s="529">
        <f>AD30*0.012</f>
        <v>47319.216</v>
      </c>
    </row>
    <row r="31" spans="1:255" ht="21" customHeight="1" thickBot="1">
      <c r="A31" s="202"/>
      <c r="B31" s="539" t="s">
        <v>5</v>
      </c>
      <c r="C31" s="540"/>
      <c r="D31" s="317">
        <f>D5+D6+D7+D8+D9+D10+D11+D12+D13+D14+D15+D16+D17+D18+D19+D20+D21+D22+D23+D24+D25+D26+D27+D28+D29+D30</f>
        <v>1425959</v>
      </c>
      <c r="E31" s="317">
        <f aca="true" t="shared" si="1" ref="E31:AA31">E5+E6+E7+E8+E9+E10+E11+E12+E13+E14+E15+E16+E17+E18+E19+E20+E21+E22+E23+E24+E25+E26+E27+E28+E29+E30</f>
        <v>3139989.56</v>
      </c>
      <c r="F31" s="317">
        <f t="shared" si="1"/>
        <v>2184539</v>
      </c>
      <c r="G31" s="317">
        <f t="shared" si="1"/>
        <v>3623844.51</v>
      </c>
      <c r="H31" s="317">
        <f t="shared" si="1"/>
        <v>2364242</v>
      </c>
      <c r="I31" s="317">
        <f t="shared" si="1"/>
        <v>3763336.04</v>
      </c>
      <c r="J31" s="317">
        <f t="shared" si="1"/>
        <v>2232343</v>
      </c>
      <c r="K31" s="317">
        <f t="shared" si="1"/>
        <v>3644688.7299999995</v>
      </c>
      <c r="L31" s="317">
        <f t="shared" si="1"/>
        <v>1772579</v>
      </c>
      <c r="M31" s="317">
        <f t="shared" si="1"/>
        <v>3144704.95</v>
      </c>
      <c r="N31" s="317">
        <f t="shared" si="1"/>
        <v>2180347</v>
      </c>
      <c r="O31" s="317">
        <f t="shared" si="1"/>
        <v>3432774.5300000003</v>
      </c>
      <c r="P31" s="317">
        <f t="shared" si="1"/>
        <v>8505008</v>
      </c>
      <c r="Q31" s="317">
        <f t="shared" si="1"/>
        <v>11410392.43</v>
      </c>
      <c r="R31" s="317">
        <f t="shared" si="1"/>
        <v>8088503</v>
      </c>
      <c r="S31" s="317">
        <f t="shared" si="1"/>
        <v>10784846.88</v>
      </c>
      <c r="T31" s="317">
        <f t="shared" si="1"/>
        <v>7986207</v>
      </c>
      <c r="U31" s="317">
        <f t="shared" si="1"/>
        <v>11021636.3</v>
      </c>
      <c r="V31" s="317">
        <f t="shared" si="1"/>
        <v>8624834</v>
      </c>
      <c r="W31" s="317">
        <f t="shared" si="1"/>
        <v>11322816.17</v>
      </c>
      <c r="X31" s="317">
        <f t="shared" si="1"/>
        <v>8739044</v>
      </c>
      <c r="Y31" s="317">
        <f t="shared" si="1"/>
        <v>11549463.54</v>
      </c>
      <c r="Z31" s="317">
        <f t="shared" si="1"/>
        <v>8326672</v>
      </c>
      <c r="AA31" s="317">
        <f t="shared" si="1"/>
        <v>11224734.43</v>
      </c>
      <c r="AB31" s="541">
        <f>AB5+AB6+AB7+AB8+AB9+AB10+AB11+AB12+AB13+AB14+AB15+AB16+AB17+AB18+AB19+AB20+AB21+AB22+AB23+AB25+AB26+AB27+AB28+AB29+AB30+AB24</f>
        <v>62430277</v>
      </c>
      <c r="AC31" s="542">
        <f>AC5+AC6+AC7+AC8+AC9+AC10+AC11+AC12+AC13+AC14+AC15+AC16+AC17+AC18+AC19+AC20+AC21+AC22+AC23+AC25+AC26+AC27+AC28+AC29+AC30+AC24</f>
        <v>88063228.07000001</v>
      </c>
      <c r="AD31" s="543">
        <f>AB20+AB27+AB28+AB29+AB30+AB23</f>
        <v>58147479</v>
      </c>
      <c r="AE31" s="544">
        <f>AD31*0.012*1.18</f>
        <v>823368.30264</v>
      </c>
      <c r="AF31" s="544">
        <f>AD31*0.012</f>
        <v>697769.748</v>
      </c>
      <c r="AG31" s="325"/>
      <c r="AH31" s="325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  <c r="IE31" s="326"/>
      <c r="IF31" s="326"/>
      <c r="IG31" s="326"/>
      <c r="IH31" s="326"/>
      <c r="II31" s="326"/>
      <c r="IJ31" s="326"/>
      <c r="IK31" s="326"/>
      <c r="IL31" s="326"/>
      <c r="IM31" s="326"/>
      <c r="IN31" s="326"/>
      <c r="IO31" s="326"/>
      <c r="IP31" s="326"/>
      <c r="IQ31" s="326"/>
      <c r="IR31" s="326"/>
      <c r="IS31" s="326"/>
      <c r="IT31" s="326"/>
      <c r="IU31" s="326"/>
    </row>
    <row r="32" spans="1:255" ht="22.5" customHeight="1" thickBot="1">
      <c r="A32" s="327"/>
      <c r="B32" s="816" t="s">
        <v>173</v>
      </c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17"/>
      <c r="AC32" s="818"/>
      <c r="AD32" s="529">
        <f>AD30+AD31</f>
        <v>62090747</v>
      </c>
      <c r="AE32" s="328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6"/>
      <c r="DH32" s="326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6"/>
      <c r="EZ32" s="326"/>
      <c r="FA32" s="326"/>
      <c r="FB32" s="326"/>
      <c r="FC32" s="326"/>
      <c r="FD32" s="326"/>
      <c r="FE32" s="326"/>
      <c r="FF32" s="326"/>
      <c r="FG32" s="326"/>
      <c r="FH32" s="326"/>
      <c r="FI32" s="326"/>
      <c r="FJ32" s="326"/>
      <c r="FK32" s="326"/>
      <c r="FL32" s="326"/>
      <c r="FM32" s="326"/>
      <c r="FN32" s="326"/>
      <c r="FO32" s="326"/>
      <c r="FP32" s="326"/>
      <c r="FQ32" s="326"/>
      <c r="FR32" s="326"/>
      <c r="FS32" s="326"/>
      <c r="FT32" s="326"/>
      <c r="FU32" s="326"/>
      <c r="FV32" s="326"/>
      <c r="FW32" s="326"/>
      <c r="FX32" s="326"/>
      <c r="FY32" s="326"/>
      <c r="FZ32" s="326"/>
      <c r="GA32" s="326"/>
      <c r="GB32" s="326"/>
      <c r="GC32" s="326"/>
      <c r="GD32" s="326"/>
      <c r="GE32" s="326"/>
      <c r="GF32" s="326"/>
      <c r="GG32" s="326"/>
      <c r="GH32" s="326"/>
      <c r="GI32" s="326"/>
      <c r="GJ32" s="326"/>
      <c r="GK32" s="326"/>
      <c r="GL32" s="326"/>
      <c r="GM32" s="326"/>
      <c r="GN32" s="326"/>
      <c r="GO32" s="326"/>
      <c r="GP32" s="326"/>
      <c r="GQ32" s="326"/>
      <c r="GR32" s="326"/>
      <c r="GS32" s="326"/>
      <c r="GT32" s="326"/>
      <c r="GU32" s="326"/>
      <c r="GV32" s="326"/>
      <c r="GW32" s="326"/>
      <c r="GX32" s="326"/>
      <c r="GY32" s="326"/>
      <c r="GZ32" s="326"/>
      <c r="HA32" s="326"/>
      <c r="HB32" s="326"/>
      <c r="HC32" s="326"/>
      <c r="HD32" s="326"/>
      <c r="HE32" s="326"/>
      <c r="HF32" s="326"/>
      <c r="HG32" s="326"/>
      <c r="HH32" s="326"/>
      <c r="HI32" s="326"/>
      <c r="HJ32" s="326"/>
      <c r="HK32" s="326"/>
      <c r="HL32" s="326"/>
      <c r="HM32" s="326"/>
      <c r="HN32" s="326"/>
      <c r="HO32" s="326"/>
      <c r="HP32" s="326"/>
      <c r="HQ32" s="326"/>
      <c r="HR32" s="326"/>
      <c r="HS32" s="326"/>
      <c r="HT32" s="326"/>
      <c r="HU32" s="326"/>
      <c r="HV32" s="326"/>
      <c r="HW32" s="326"/>
      <c r="HX32" s="326"/>
      <c r="HY32" s="326"/>
      <c r="HZ32" s="326"/>
      <c r="IA32" s="326"/>
      <c r="IB32" s="326"/>
      <c r="IC32" s="326"/>
      <c r="ID32" s="326"/>
      <c r="IE32" s="326"/>
      <c r="IF32" s="326"/>
      <c r="IG32" s="326"/>
      <c r="IH32" s="326"/>
      <c r="II32" s="326"/>
      <c r="IJ32" s="326"/>
      <c r="IK32" s="326"/>
      <c r="IL32" s="326"/>
      <c r="IM32" s="326"/>
      <c r="IN32" s="326"/>
      <c r="IO32" s="326"/>
      <c r="IP32" s="326"/>
      <c r="IQ32" s="326"/>
      <c r="IR32" s="326"/>
      <c r="IS32" s="326"/>
      <c r="IT32" s="326"/>
      <c r="IU32" s="326"/>
    </row>
    <row r="33" spans="1:171" ht="36.75" customHeight="1">
      <c r="A33" s="343">
        <v>27</v>
      </c>
      <c r="B33" s="344" t="s">
        <v>23</v>
      </c>
      <c r="C33" s="211" t="s">
        <v>174</v>
      </c>
      <c r="D33" s="345">
        <v>526</v>
      </c>
      <c r="E33" s="346">
        <v>769.73</v>
      </c>
      <c r="F33" s="348">
        <v>579</v>
      </c>
      <c r="G33" s="349">
        <v>847.28</v>
      </c>
      <c r="H33" s="351">
        <v>1036</v>
      </c>
      <c r="I33" s="346">
        <v>1515.96</v>
      </c>
      <c r="J33" s="352">
        <v>641</v>
      </c>
      <c r="K33" s="353">
        <v>937.99</v>
      </c>
      <c r="L33" s="355">
        <v>535</v>
      </c>
      <c r="M33" s="356">
        <v>782.89</v>
      </c>
      <c r="N33" s="352">
        <v>710</v>
      </c>
      <c r="O33" s="353">
        <v>1038.95</v>
      </c>
      <c r="P33" s="351">
        <v>535</v>
      </c>
      <c r="Q33" s="356">
        <v>782.89</v>
      </c>
      <c r="R33" s="352">
        <v>499</v>
      </c>
      <c r="S33" s="353">
        <v>730.22</v>
      </c>
      <c r="T33" s="351">
        <v>509</v>
      </c>
      <c r="U33" s="356">
        <v>744.85</v>
      </c>
      <c r="V33" s="352">
        <v>682</v>
      </c>
      <c r="W33" s="353">
        <v>997.99</v>
      </c>
      <c r="X33" s="345">
        <v>668</v>
      </c>
      <c r="Y33" s="346">
        <v>977.5</v>
      </c>
      <c r="Z33" s="348">
        <v>521</v>
      </c>
      <c r="AA33" s="346">
        <v>762.41</v>
      </c>
      <c r="AB33" s="221">
        <f aca="true" t="shared" si="2" ref="AB33:AC37">Z33+X33+V33+T33+R33+P33+N33+L33+J33+H33+F33+D33</f>
        <v>7441</v>
      </c>
      <c r="AC33" s="224">
        <f t="shared" si="2"/>
        <v>10888.66</v>
      </c>
      <c r="AE33" s="35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7"/>
      <c r="CN33" s="337"/>
      <c r="CO33" s="337"/>
      <c r="CP33" s="337"/>
      <c r="CQ33" s="337"/>
      <c r="CR33" s="337"/>
      <c r="CS33" s="337"/>
      <c r="CT33" s="337"/>
      <c r="CU33" s="337"/>
      <c r="CV33" s="337"/>
      <c r="CW33" s="337"/>
      <c r="CX33" s="337"/>
      <c r="CY33" s="337"/>
      <c r="CZ33" s="337"/>
      <c r="DA33" s="337"/>
      <c r="DB33" s="337"/>
      <c r="DC33" s="337"/>
      <c r="DD33" s="337"/>
      <c r="DE33" s="337"/>
      <c r="DF33" s="337"/>
      <c r="DG33" s="337"/>
      <c r="DH33" s="337"/>
      <c r="DI33" s="337"/>
      <c r="DJ33" s="337"/>
      <c r="DK33" s="337"/>
      <c r="DL33" s="337"/>
      <c r="DM33" s="337"/>
      <c r="DN33" s="337"/>
      <c r="DO33" s="337"/>
      <c r="DP33" s="337"/>
      <c r="DQ33" s="337"/>
      <c r="DR33" s="337"/>
      <c r="DS33" s="337"/>
      <c r="DT33" s="337"/>
      <c r="DU33" s="337"/>
      <c r="DV33" s="337"/>
      <c r="DW33" s="337"/>
      <c r="DX33" s="337"/>
      <c r="DY33" s="337"/>
      <c r="DZ33" s="337"/>
      <c r="EA33" s="337"/>
      <c r="EB33" s="337"/>
      <c r="EC33" s="337"/>
      <c r="ED33" s="337"/>
      <c r="EE33" s="337"/>
      <c r="EF33" s="337"/>
      <c r="EG33" s="337"/>
      <c r="EH33" s="337"/>
      <c r="EI33" s="337"/>
      <c r="EJ33" s="337"/>
      <c r="EK33" s="337"/>
      <c r="EL33" s="337"/>
      <c r="EM33" s="337"/>
      <c r="EN33" s="337"/>
      <c r="EO33" s="337"/>
      <c r="EP33" s="337"/>
      <c r="EQ33" s="337"/>
      <c r="ER33" s="337"/>
      <c r="ES33" s="337"/>
      <c r="ET33" s="337"/>
      <c r="EU33" s="337"/>
      <c r="EV33" s="337"/>
      <c r="EW33" s="337"/>
      <c r="EX33" s="337"/>
      <c r="EY33" s="337"/>
      <c r="EZ33" s="337"/>
      <c r="FA33" s="337"/>
      <c r="FB33" s="337"/>
      <c r="FC33" s="337"/>
      <c r="FD33" s="337"/>
      <c r="FE33" s="337"/>
      <c r="FF33" s="337"/>
      <c r="FG33" s="337"/>
      <c r="FH33" s="337"/>
      <c r="FI33" s="337"/>
      <c r="FJ33" s="337"/>
      <c r="FK33" s="337"/>
      <c r="FL33" s="337"/>
      <c r="FM33" s="337"/>
      <c r="FN33" s="337"/>
      <c r="FO33" s="337"/>
    </row>
    <row r="34" spans="1:29" ht="23.25" customHeight="1">
      <c r="A34" s="358">
        <v>28</v>
      </c>
      <c r="B34" s="359" t="s">
        <v>2</v>
      </c>
      <c r="C34" s="228" t="s">
        <v>130</v>
      </c>
      <c r="D34" s="360">
        <v>800</v>
      </c>
      <c r="E34" s="235">
        <v>1188.12</v>
      </c>
      <c r="F34" s="242">
        <v>500</v>
      </c>
      <c r="G34" s="363">
        <v>741.84</v>
      </c>
      <c r="H34" s="238">
        <v>500</v>
      </c>
      <c r="I34" s="365">
        <v>741.84</v>
      </c>
      <c r="J34" s="237">
        <v>580</v>
      </c>
      <c r="K34" s="233">
        <v>861.82</v>
      </c>
      <c r="L34" s="367">
        <v>620</v>
      </c>
      <c r="M34" s="262">
        <v>920.35</v>
      </c>
      <c r="N34" s="252">
        <v>700</v>
      </c>
      <c r="O34" s="253">
        <v>1038.87</v>
      </c>
      <c r="P34" s="263">
        <v>640</v>
      </c>
      <c r="Q34" s="262">
        <v>949.62</v>
      </c>
      <c r="R34" s="252">
        <v>640</v>
      </c>
      <c r="S34" s="253">
        <v>949.62</v>
      </c>
      <c r="T34" s="263">
        <v>980</v>
      </c>
      <c r="U34" s="262">
        <v>1454.42</v>
      </c>
      <c r="V34" s="252">
        <v>760</v>
      </c>
      <c r="W34" s="253">
        <v>1128.13</v>
      </c>
      <c r="X34" s="360">
        <v>1140</v>
      </c>
      <c r="Y34" s="368">
        <v>1692.92</v>
      </c>
      <c r="Z34" s="291">
        <v>1480</v>
      </c>
      <c r="AA34" s="368">
        <v>2197.73</v>
      </c>
      <c r="AB34" s="237">
        <f t="shared" si="2"/>
        <v>9340</v>
      </c>
      <c r="AC34" s="239">
        <f t="shared" si="2"/>
        <v>13865.280000000002</v>
      </c>
    </row>
    <row r="35" spans="1:29" ht="23.25" customHeight="1">
      <c r="A35" s="358">
        <v>29</v>
      </c>
      <c r="B35" s="370" t="s">
        <v>29</v>
      </c>
      <c r="C35" s="372" t="s">
        <v>175</v>
      </c>
      <c r="D35" s="536"/>
      <c r="E35" s="272"/>
      <c r="F35" s="269"/>
      <c r="G35" s="545"/>
      <c r="H35" s="271"/>
      <c r="I35" s="546"/>
      <c r="J35" s="274"/>
      <c r="K35" s="270"/>
      <c r="L35" s="374"/>
      <c r="M35" s="306"/>
      <c r="N35" s="277">
        <v>1240</v>
      </c>
      <c r="O35" s="278">
        <v>1814.37</v>
      </c>
      <c r="P35" s="280">
        <v>764</v>
      </c>
      <c r="Q35" s="306">
        <v>1117.88</v>
      </c>
      <c r="R35" s="277">
        <v>590</v>
      </c>
      <c r="S35" s="278">
        <v>863.29</v>
      </c>
      <c r="T35" s="280">
        <v>1285</v>
      </c>
      <c r="U35" s="306">
        <v>1880.21</v>
      </c>
      <c r="V35" s="277">
        <v>3331</v>
      </c>
      <c r="W35" s="278">
        <v>4873.92</v>
      </c>
      <c r="X35" s="536">
        <v>6270</v>
      </c>
      <c r="Y35" s="375">
        <v>9174.26</v>
      </c>
      <c r="Z35" s="300">
        <v>6967</v>
      </c>
      <c r="AA35" s="375">
        <v>10194.11</v>
      </c>
      <c r="AB35" s="237">
        <f t="shared" si="2"/>
        <v>20447</v>
      </c>
      <c r="AC35" s="239">
        <f t="shared" si="2"/>
        <v>29918.04</v>
      </c>
    </row>
    <row r="36" spans="1:29" ht="24" customHeight="1" thickBot="1">
      <c r="A36" s="338">
        <v>30</v>
      </c>
      <c r="B36" s="370" t="s">
        <v>131</v>
      </c>
      <c r="C36" s="547" t="s">
        <v>132</v>
      </c>
      <c r="D36" s="280">
        <v>7050</v>
      </c>
      <c r="E36" s="272">
        <v>10622.83</v>
      </c>
      <c r="F36" s="274">
        <v>9360</v>
      </c>
      <c r="G36" s="405">
        <v>14103.78</v>
      </c>
      <c r="H36" s="271">
        <v>17010</v>
      </c>
      <c r="I36" s="272">
        <v>25630.87</v>
      </c>
      <c r="J36" s="274">
        <v>5670</v>
      </c>
      <c r="K36" s="270">
        <v>8543.62</v>
      </c>
      <c r="L36" s="374">
        <v>3810</v>
      </c>
      <c r="M36" s="306">
        <v>5741.6</v>
      </c>
      <c r="N36" s="277"/>
      <c r="O36" s="278"/>
      <c r="P36" s="280">
        <v>810</v>
      </c>
      <c r="Q36" s="306">
        <v>1220.31</v>
      </c>
      <c r="R36" s="277">
        <v>3600</v>
      </c>
      <c r="S36" s="278">
        <v>5424.08</v>
      </c>
      <c r="T36" s="280">
        <v>5130</v>
      </c>
      <c r="U36" s="306">
        <v>7730.09</v>
      </c>
      <c r="V36" s="277">
        <v>5850</v>
      </c>
      <c r="W36" s="278">
        <v>8814.32</v>
      </c>
      <c r="X36" s="280">
        <v>6780</v>
      </c>
      <c r="Y36" s="306">
        <v>10216.06</v>
      </c>
      <c r="Z36" s="300">
        <v>5670</v>
      </c>
      <c r="AA36" s="375">
        <v>8543.62</v>
      </c>
      <c r="AB36" s="305">
        <f t="shared" si="2"/>
        <v>70740</v>
      </c>
      <c r="AC36" s="373">
        <f>AA36+Y36+W36+U36+S36+Q36+O36+M36+K36+I36+G36+E36</f>
        <v>106591.18</v>
      </c>
    </row>
    <row r="37" spans="1:29" ht="15.75" customHeight="1" thickBot="1">
      <c r="A37" s="380"/>
      <c r="B37" s="377"/>
      <c r="C37" s="379"/>
      <c r="D37" s="317">
        <f>D33+D34+D35+D36</f>
        <v>8376</v>
      </c>
      <c r="E37" s="315">
        <f aca="true" t="shared" si="3" ref="E37:AC37">E33+E34+E35+E36</f>
        <v>12580.68</v>
      </c>
      <c r="F37" s="317">
        <f t="shared" si="3"/>
        <v>10439</v>
      </c>
      <c r="G37" s="315">
        <f t="shared" si="3"/>
        <v>15692.900000000001</v>
      </c>
      <c r="H37" s="317">
        <f t="shared" si="3"/>
        <v>18546</v>
      </c>
      <c r="I37" s="315">
        <f t="shared" si="3"/>
        <v>27888.67</v>
      </c>
      <c r="J37" s="317">
        <f t="shared" si="3"/>
        <v>6891</v>
      </c>
      <c r="K37" s="315">
        <f t="shared" si="3"/>
        <v>10343.43</v>
      </c>
      <c r="L37" s="317">
        <f t="shared" si="3"/>
        <v>4965</v>
      </c>
      <c r="M37" s="315">
        <f t="shared" si="3"/>
        <v>7444.84</v>
      </c>
      <c r="N37" s="317">
        <f t="shared" si="3"/>
        <v>2650</v>
      </c>
      <c r="O37" s="315">
        <f t="shared" si="3"/>
        <v>3892.1899999999996</v>
      </c>
      <c r="P37" s="317">
        <f t="shared" si="3"/>
        <v>2749</v>
      </c>
      <c r="Q37" s="315">
        <f t="shared" si="3"/>
        <v>4070.7000000000003</v>
      </c>
      <c r="R37" s="317">
        <f t="shared" si="3"/>
        <v>5329</v>
      </c>
      <c r="S37" s="315">
        <f t="shared" si="3"/>
        <v>7967.21</v>
      </c>
      <c r="T37" s="317">
        <f t="shared" si="3"/>
        <v>7904</v>
      </c>
      <c r="U37" s="315">
        <f t="shared" si="3"/>
        <v>11809.57</v>
      </c>
      <c r="V37" s="317">
        <f t="shared" si="3"/>
        <v>10623</v>
      </c>
      <c r="W37" s="315">
        <f t="shared" si="3"/>
        <v>15814.36</v>
      </c>
      <c r="X37" s="317">
        <f t="shared" si="3"/>
        <v>14858</v>
      </c>
      <c r="Y37" s="315">
        <f t="shared" si="3"/>
        <v>22060.739999999998</v>
      </c>
      <c r="Z37" s="317">
        <f t="shared" si="3"/>
        <v>14638</v>
      </c>
      <c r="AA37" s="1">
        <f t="shared" si="3"/>
        <v>21697.870000000003</v>
      </c>
      <c r="AB37" s="548">
        <f t="shared" si="2"/>
        <v>107968</v>
      </c>
      <c r="AC37" s="549">
        <f t="shared" si="3"/>
        <v>161263.16</v>
      </c>
    </row>
    <row r="38" spans="1:29" ht="21" customHeight="1" thickBot="1">
      <c r="A38" s="395"/>
      <c r="B38" s="800" t="s">
        <v>25</v>
      </c>
      <c r="C38" s="801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17"/>
      <c r="AC38" s="818"/>
    </row>
    <row r="39" spans="1:29" ht="24.75" customHeight="1">
      <c r="A39" s="327">
        <v>31</v>
      </c>
      <c r="B39" s="372" t="s">
        <v>176</v>
      </c>
      <c r="C39" s="397" t="s">
        <v>135</v>
      </c>
      <c r="D39" s="237">
        <v>487</v>
      </c>
      <c r="E39" s="239">
        <v>306.81</v>
      </c>
      <c r="F39" s="280">
        <v>189</v>
      </c>
      <c r="G39" s="281">
        <v>188.89</v>
      </c>
      <c r="H39" s="274">
        <v>250</v>
      </c>
      <c r="I39" s="405">
        <v>157.5</v>
      </c>
      <c r="J39" s="271"/>
      <c r="K39" s="268"/>
      <c r="L39" s="274">
        <v>151</v>
      </c>
      <c r="M39" s="270">
        <v>110.26</v>
      </c>
      <c r="N39" s="271"/>
      <c r="O39" s="306"/>
      <c r="P39" s="277">
        <v>493</v>
      </c>
      <c r="Q39" s="278">
        <v>321</v>
      </c>
      <c r="R39" s="280">
        <v>182</v>
      </c>
      <c r="S39" s="306">
        <v>153.06</v>
      </c>
      <c r="T39" s="277">
        <v>208</v>
      </c>
      <c r="U39" s="278">
        <v>131.04</v>
      </c>
      <c r="V39" s="280"/>
      <c r="W39" s="306"/>
      <c r="X39" s="277">
        <v>257</v>
      </c>
      <c r="Y39" s="278">
        <v>161.91</v>
      </c>
      <c r="Z39" s="280">
        <v>222</v>
      </c>
      <c r="AA39" s="306">
        <v>139.86</v>
      </c>
      <c r="AB39" s="221">
        <f aca="true" t="shared" si="4" ref="AB39:AC45">Z39+X39+V39+T39+R39+P39+N39+L39+J39+H39+F39+D39</f>
        <v>2439</v>
      </c>
      <c r="AC39" s="224">
        <f t="shared" si="4"/>
        <v>1670.33</v>
      </c>
    </row>
    <row r="40" spans="1:29" ht="24.75" customHeight="1">
      <c r="A40" s="338">
        <v>32</v>
      </c>
      <c r="B40" s="372" t="s">
        <v>177</v>
      </c>
      <c r="C40" s="397" t="s">
        <v>178</v>
      </c>
      <c r="D40" s="237"/>
      <c r="E40" s="239"/>
      <c r="F40" s="280"/>
      <c r="G40" s="281"/>
      <c r="H40" s="274"/>
      <c r="I40" s="405"/>
      <c r="J40" s="271"/>
      <c r="K40" s="268"/>
      <c r="L40" s="274"/>
      <c r="M40" s="270"/>
      <c r="N40" s="271"/>
      <c r="O40" s="306"/>
      <c r="P40" s="277"/>
      <c r="Q40" s="278"/>
      <c r="R40" s="280"/>
      <c r="S40" s="306"/>
      <c r="T40" s="277">
        <v>467</v>
      </c>
      <c r="U40" s="278">
        <v>420.3</v>
      </c>
      <c r="V40" s="280"/>
      <c r="W40" s="306"/>
      <c r="X40" s="277"/>
      <c r="Y40" s="278"/>
      <c r="Z40" s="280"/>
      <c r="AA40" s="306"/>
      <c r="AB40" s="237">
        <f t="shared" si="4"/>
        <v>467</v>
      </c>
      <c r="AC40" s="239">
        <f t="shared" si="4"/>
        <v>420.3</v>
      </c>
    </row>
    <row r="41" spans="1:29" ht="26.25" customHeight="1">
      <c r="A41" s="338">
        <v>33</v>
      </c>
      <c r="B41" s="372" t="s">
        <v>138</v>
      </c>
      <c r="C41" s="397" t="s">
        <v>179</v>
      </c>
      <c r="D41" s="237"/>
      <c r="E41" s="239"/>
      <c r="F41" s="280"/>
      <c r="G41" s="281"/>
      <c r="H41" s="274"/>
      <c r="I41" s="405"/>
      <c r="J41" s="271"/>
      <c r="K41" s="268"/>
      <c r="L41" s="274"/>
      <c r="M41" s="270"/>
      <c r="N41" s="271"/>
      <c r="O41" s="306"/>
      <c r="P41" s="277"/>
      <c r="Q41" s="278"/>
      <c r="R41" s="280">
        <v>1000</v>
      </c>
      <c r="S41" s="306">
        <v>913.5</v>
      </c>
      <c r="T41" s="277"/>
      <c r="U41" s="278"/>
      <c r="V41" s="280"/>
      <c r="W41" s="306"/>
      <c r="X41" s="277"/>
      <c r="Y41" s="278"/>
      <c r="Z41" s="280"/>
      <c r="AA41" s="306"/>
      <c r="AB41" s="237">
        <f t="shared" si="4"/>
        <v>1000</v>
      </c>
      <c r="AC41" s="239">
        <f t="shared" si="4"/>
        <v>913.5</v>
      </c>
    </row>
    <row r="42" spans="1:29" ht="25.5" customHeight="1">
      <c r="A42" s="338">
        <v>34</v>
      </c>
      <c r="B42" s="372" t="s">
        <v>140</v>
      </c>
      <c r="C42" s="397" t="s">
        <v>141</v>
      </c>
      <c r="D42" s="237">
        <v>671</v>
      </c>
      <c r="E42" s="239">
        <v>1207.09</v>
      </c>
      <c r="F42" s="280">
        <v>671</v>
      </c>
      <c r="G42" s="281">
        <v>1207.09</v>
      </c>
      <c r="H42" s="274">
        <v>671</v>
      </c>
      <c r="I42" s="405">
        <v>1207.09</v>
      </c>
      <c r="J42" s="271">
        <v>671</v>
      </c>
      <c r="K42" s="268">
        <v>1207.09</v>
      </c>
      <c r="L42" s="274">
        <v>671</v>
      </c>
      <c r="M42" s="270">
        <v>1207.09</v>
      </c>
      <c r="N42" s="271">
        <v>671</v>
      </c>
      <c r="O42" s="306">
        <v>1207.09</v>
      </c>
      <c r="P42" s="277">
        <v>671</v>
      </c>
      <c r="Q42" s="278">
        <v>1207.09</v>
      </c>
      <c r="R42" s="280">
        <v>671</v>
      </c>
      <c r="S42" s="306">
        <v>1207.09</v>
      </c>
      <c r="T42" s="277">
        <v>671</v>
      </c>
      <c r="U42" s="278">
        <v>1207.09</v>
      </c>
      <c r="V42" s="280">
        <v>671</v>
      </c>
      <c r="W42" s="306">
        <v>1207.09</v>
      </c>
      <c r="X42" s="277">
        <v>671</v>
      </c>
      <c r="Y42" s="278">
        <v>1207.09</v>
      </c>
      <c r="Z42" s="280">
        <v>671</v>
      </c>
      <c r="AA42" s="306">
        <v>1207.09</v>
      </c>
      <c r="AB42" s="237">
        <f t="shared" si="4"/>
        <v>8052</v>
      </c>
      <c r="AC42" s="239">
        <f t="shared" si="4"/>
        <v>14485.08</v>
      </c>
    </row>
    <row r="43" spans="1:29" ht="22.5" customHeight="1">
      <c r="A43" s="338">
        <v>35</v>
      </c>
      <c r="B43" s="372" t="s">
        <v>142</v>
      </c>
      <c r="C43" s="397" t="s">
        <v>143</v>
      </c>
      <c r="D43" s="237"/>
      <c r="E43" s="239"/>
      <c r="F43" s="280"/>
      <c r="G43" s="281"/>
      <c r="H43" s="274"/>
      <c r="I43" s="405"/>
      <c r="J43" s="271"/>
      <c r="K43" s="268"/>
      <c r="L43" s="274"/>
      <c r="M43" s="270"/>
      <c r="N43" s="271"/>
      <c r="O43" s="306"/>
      <c r="P43" s="277"/>
      <c r="Q43" s="278"/>
      <c r="R43" s="280"/>
      <c r="S43" s="306"/>
      <c r="T43" s="277"/>
      <c r="U43" s="278"/>
      <c r="V43" s="280"/>
      <c r="W43" s="306"/>
      <c r="X43" s="277"/>
      <c r="Y43" s="278"/>
      <c r="Z43" s="280"/>
      <c r="AA43" s="306"/>
      <c r="AB43" s="237">
        <f t="shared" si="4"/>
        <v>0</v>
      </c>
      <c r="AC43" s="239">
        <f t="shared" si="4"/>
        <v>0</v>
      </c>
    </row>
    <row r="44" spans="1:29" ht="33" customHeight="1">
      <c r="A44" s="338">
        <v>36</v>
      </c>
      <c r="B44" s="372" t="s">
        <v>180</v>
      </c>
      <c r="C44" s="397" t="s">
        <v>181</v>
      </c>
      <c r="D44" s="237"/>
      <c r="E44" s="239"/>
      <c r="F44" s="280"/>
      <c r="G44" s="281"/>
      <c r="H44" s="274"/>
      <c r="I44" s="405"/>
      <c r="J44" s="271"/>
      <c r="K44" s="268"/>
      <c r="L44" s="274"/>
      <c r="M44" s="270"/>
      <c r="N44" s="271"/>
      <c r="O44" s="306"/>
      <c r="P44" s="277"/>
      <c r="Q44" s="278"/>
      <c r="R44" s="280"/>
      <c r="S44" s="306"/>
      <c r="T44" s="277">
        <v>928.6</v>
      </c>
      <c r="U44" s="278">
        <v>690.32</v>
      </c>
      <c r="V44" s="280">
        <v>929</v>
      </c>
      <c r="W44" s="306">
        <v>690.32</v>
      </c>
      <c r="X44" s="277">
        <v>929</v>
      </c>
      <c r="Y44" s="278">
        <v>690.32</v>
      </c>
      <c r="Z44" s="280">
        <v>928.6</v>
      </c>
      <c r="AA44" s="306">
        <v>690.32</v>
      </c>
      <c r="AB44" s="237">
        <f t="shared" si="4"/>
        <v>3715.2</v>
      </c>
      <c r="AC44" s="239">
        <f t="shared" si="4"/>
        <v>2761.28</v>
      </c>
    </row>
    <row r="45" spans="1:29" ht="22.5" customHeight="1" thickBot="1">
      <c r="A45" s="550">
        <v>37</v>
      </c>
      <c r="B45" s="372" t="s">
        <v>144</v>
      </c>
      <c r="C45" s="397" t="s">
        <v>145</v>
      </c>
      <c r="D45" s="274">
        <v>971</v>
      </c>
      <c r="E45" s="405">
        <v>922.5</v>
      </c>
      <c r="F45" s="280">
        <v>1048</v>
      </c>
      <c r="G45" s="281">
        <v>996.3</v>
      </c>
      <c r="H45" s="274">
        <v>984</v>
      </c>
      <c r="I45" s="405">
        <v>935.1</v>
      </c>
      <c r="J45" s="271">
        <v>564</v>
      </c>
      <c r="K45" s="268">
        <v>536.4</v>
      </c>
      <c r="L45" s="274">
        <v>590</v>
      </c>
      <c r="M45" s="270">
        <v>660.7</v>
      </c>
      <c r="N45" s="271"/>
      <c r="O45" s="306"/>
      <c r="P45" s="277"/>
      <c r="Q45" s="278"/>
      <c r="R45" s="280">
        <v>800</v>
      </c>
      <c r="S45" s="306">
        <v>760.5</v>
      </c>
      <c r="T45" s="277"/>
      <c r="U45" s="278"/>
      <c r="V45" s="280"/>
      <c r="W45" s="306"/>
      <c r="X45" s="277">
        <v>286</v>
      </c>
      <c r="Y45" s="278">
        <v>271.8</v>
      </c>
      <c r="Z45" s="280">
        <v>700</v>
      </c>
      <c r="AA45" s="306">
        <v>665.1</v>
      </c>
      <c r="AB45" s="274">
        <f t="shared" si="4"/>
        <v>5943</v>
      </c>
      <c r="AC45" s="405">
        <f t="shared" si="4"/>
        <v>5748.400000000001</v>
      </c>
    </row>
    <row r="46" spans="1:29" ht="18.75" customHeight="1" thickBot="1">
      <c r="A46" s="551"/>
      <c r="B46" s="377" t="s">
        <v>5</v>
      </c>
      <c r="C46" s="407"/>
      <c r="D46" s="317">
        <f>D39+D40+D41+D42+D43+D44+D45</f>
        <v>2129</v>
      </c>
      <c r="E46" s="315">
        <f aca="true" t="shared" si="5" ref="E46:AC46">E39+E40+E41+E42+E43+E44+E45</f>
        <v>2436.3999999999996</v>
      </c>
      <c r="F46" s="317">
        <f t="shared" si="5"/>
        <v>1908</v>
      </c>
      <c r="G46" s="321">
        <f t="shared" si="5"/>
        <v>2392.2799999999997</v>
      </c>
      <c r="H46" s="317">
        <f t="shared" si="5"/>
        <v>1905</v>
      </c>
      <c r="I46" s="315">
        <f t="shared" si="5"/>
        <v>2299.69</v>
      </c>
      <c r="J46" s="317">
        <f t="shared" si="5"/>
        <v>1235</v>
      </c>
      <c r="K46" s="315">
        <f t="shared" si="5"/>
        <v>1743.4899999999998</v>
      </c>
      <c r="L46" s="317">
        <f t="shared" si="5"/>
        <v>1412</v>
      </c>
      <c r="M46" s="315">
        <f t="shared" si="5"/>
        <v>1978.05</v>
      </c>
      <c r="N46" s="317">
        <f t="shared" si="5"/>
        <v>671</v>
      </c>
      <c r="O46" s="315">
        <f t="shared" si="5"/>
        <v>1207.09</v>
      </c>
      <c r="P46" s="317">
        <f t="shared" si="5"/>
        <v>1164</v>
      </c>
      <c r="Q46" s="315">
        <f t="shared" si="5"/>
        <v>1528.09</v>
      </c>
      <c r="R46" s="317">
        <f t="shared" si="5"/>
        <v>2653</v>
      </c>
      <c r="S46" s="315">
        <f t="shared" si="5"/>
        <v>3034.1499999999996</v>
      </c>
      <c r="T46" s="317">
        <f t="shared" si="5"/>
        <v>2274.6</v>
      </c>
      <c r="U46" s="315">
        <f t="shared" si="5"/>
        <v>2448.75</v>
      </c>
      <c r="V46" s="317">
        <f t="shared" si="5"/>
        <v>1600</v>
      </c>
      <c r="W46" s="315">
        <f t="shared" si="5"/>
        <v>1897.4099999999999</v>
      </c>
      <c r="X46" s="317">
        <f t="shared" si="5"/>
        <v>2143</v>
      </c>
      <c r="Y46" s="315">
        <f t="shared" si="5"/>
        <v>2331.1200000000003</v>
      </c>
      <c r="Z46" s="317">
        <f t="shared" si="5"/>
        <v>2521.6</v>
      </c>
      <c r="AA46" s="315">
        <f t="shared" si="5"/>
        <v>2702.37</v>
      </c>
      <c r="AB46" s="317">
        <f t="shared" si="5"/>
        <v>21616.2</v>
      </c>
      <c r="AC46" s="1">
        <f t="shared" si="5"/>
        <v>25998.89</v>
      </c>
    </row>
    <row r="47" spans="1:34" ht="21" customHeight="1" thickBot="1">
      <c r="A47" s="395"/>
      <c r="B47" s="413" t="s">
        <v>148</v>
      </c>
      <c r="C47" s="552"/>
      <c r="D47" s="416">
        <f aca="true" t="shared" si="6" ref="D47:AA47">D46+D31+D37</f>
        <v>1436464</v>
      </c>
      <c r="E47" s="417">
        <f t="shared" si="6"/>
        <v>3155006.64</v>
      </c>
      <c r="F47" s="553">
        <f t="shared" si="6"/>
        <v>2196886</v>
      </c>
      <c r="G47" s="417">
        <f t="shared" si="6"/>
        <v>3641929.6899999995</v>
      </c>
      <c r="H47" s="553">
        <f t="shared" si="6"/>
        <v>2384693</v>
      </c>
      <c r="I47" s="554">
        <f t="shared" si="6"/>
        <v>3793524.4</v>
      </c>
      <c r="J47" s="553">
        <f t="shared" si="6"/>
        <v>2240469</v>
      </c>
      <c r="K47" s="554">
        <f t="shared" si="6"/>
        <v>3656775.65</v>
      </c>
      <c r="L47" s="416">
        <f t="shared" si="6"/>
        <v>1778956</v>
      </c>
      <c r="M47" s="417">
        <f t="shared" si="6"/>
        <v>3154127.84</v>
      </c>
      <c r="N47" s="553">
        <f t="shared" si="6"/>
        <v>2183668</v>
      </c>
      <c r="O47" s="554">
        <f t="shared" si="6"/>
        <v>3437873.81</v>
      </c>
      <c r="P47" s="416">
        <f t="shared" si="6"/>
        <v>8508921</v>
      </c>
      <c r="Q47" s="417">
        <f t="shared" si="6"/>
        <v>11415991.219999999</v>
      </c>
      <c r="R47" s="553">
        <f t="shared" si="6"/>
        <v>8096485</v>
      </c>
      <c r="S47" s="554">
        <f t="shared" si="6"/>
        <v>10795848.240000002</v>
      </c>
      <c r="T47" s="416">
        <f t="shared" si="6"/>
        <v>7996385.6</v>
      </c>
      <c r="U47" s="417">
        <f t="shared" si="6"/>
        <v>11035894.620000001</v>
      </c>
      <c r="V47" s="553">
        <f t="shared" si="6"/>
        <v>8637057</v>
      </c>
      <c r="W47" s="554">
        <f t="shared" si="6"/>
        <v>11340527.94</v>
      </c>
      <c r="X47" s="416">
        <f t="shared" si="6"/>
        <v>8756045</v>
      </c>
      <c r="Y47" s="417">
        <f t="shared" si="6"/>
        <v>11573855.399999999</v>
      </c>
      <c r="Z47" s="553">
        <f t="shared" si="6"/>
        <v>8343831.6</v>
      </c>
      <c r="AA47" s="417">
        <f t="shared" si="6"/>
        <v>11249134.669999998</v>
      </c>
      <c r="AB47" s="555">
        <f>AB46+AB37+AB31</f>
        <v>62559861.2</v>
      </c>
      <c r="AC47" s="556">
        <f>AC46+AC37+AC31</f>
        <v>88250490.12</v>
      </c>
      <c r="AD47" s="324"/>
      <c r="AE47" s="324"/>
      <c r="AF47" s="324"/>
      <c r="AG47" s="324"/>
      <c r="AH47" s="324"/>
    </row>
    <row r="48" spans="1:49" s="17" customFormat="1" ht="26.25" customHeight="1">
      <c r="A48" s="426"/>
      <c r="B48" s="427" t="s">
        <v>149</v>
      </c>
      <c r="C48" s="429"/>
      <c r="D48" s="431"/>
      <c r="E48" s="434">
        <f>E49+E50+E51</f>
        <v>3091858</v>
      </c>
      <c r="F48" s="433"/>
      <c r="G48" s="434">
        <f>G49+G50+G51</f>
        <v>3562655</v>
      </c>
      <c r="H48" s="429"/>
      <c r="I48" s="432">
        <f>I49+I50+I51</f>
        <v>3695339</v>
      </c>
      <c r="J48" s="433"/>
      <c r="K48" s="434">
        <f>K49+K50+K51</f>
        <v>3573380</v>
      </c>
      <c r="L48" s="429"/>
      <c r="M48" s="432">
        <f>M49+M50+M51</f>
        <v>3079158</v>
      </c>
      <c r="N48" s="431"/>
      <c r="O48" s="432">
        <f>O49+O50+O51</f>
        <v>3379451</v>
      </c>
      <c r="P48" s="431"/>
      <c r="Q48" s="434">
        <f>Q49+Q50+Q51</f>
        <v>11248494</v>
      </c>
      <c r="R48" s="557"/>
      <c r="S48" s="432">
        <f>S49+S50+S51</f>
        <v>10631750</v>
      </c>
      <c r="T48" s="431"/>
      <c r="U48" s="434">
        <f>U49+U50+U51</f>
        <v>10943477</v>
      </c>
      <c r="V48" s="557"/>
      <c r="W48" s="432">
        <f>W49+W50+W51</f>
        <v>11076357</v>
      </c>
      <c r="X48" s="431"/>
      <c r="Y48" s="434">
        <f>Y49+Y50+Y51</f>
        <v>11383483</v>
      </c>
      <c r="Z48" s="557"/>
      <c r="AA48" s="432">
        <f>AA49+AA50+AA51</f>
        <v>11057554</v>
      </c>
      <c r="AB48" s="558">
        <f aca="true" t="shared" si="7" ref="AB48:AC52">AA48+Y48+W48+U48+S48+Q48+O48+M48+K48+I48+G48+E48</f>
        <v>86722956</v>
      </c>
      <c r="AC48" s="559">
        <f t="shared" si="7"/>
        <v>86722956</v>
      </c>
      <c r="AD48" s="437"/>
      <c r="AE48" s="437"/>
      <c r="AF48" s="437"/>
      <c r="AG48" s="437"/>
      <c r="AH48" s="437"/>
      <c r="AI48" s="438"/>
      <c r="AJ48" s="438"/>
      <c r="AK48" s="94"/>
      <c r="AL48" s="94"/>
      <c r="AM48" s="94"/>
      <c r="AN48" s="94"/>
      <c r="AO48" s="94"/>
      <c r="AP48" s="439"/>
      <c r="AQ48" s="439"/>
      <c r="AR48" s="439"/>
      <c r="AS48" s="439"/>
      <c r="AT48" s="439"/>
      <c r="AU48" s="439"/>
      <c r="AV48" s="439"/>
      <c r="AW48" s="439"/>
    </row>
    <row r="49" spans="1:49" ht="27" customHeight="1">
      <c r="A49" s="440">
        <v>1</v>
      </c>
      <c r="B49" s="441" t="s">
        <v>150</v>
      </c>
      <c r="C49" s="443"/>
      <c r="D49" s="445"/>
      <c r="E49" s="455">
        <v>3049896</v>
      </c>
      <c r="F49" s="445"/>
      <c r="G49" s="455">
        <v>3523002</v>
      </c>
      <c r="H49" s="448"/>
      <c r="I49" s="446">
        <v>3648156</v>
      </c>
      <c r="J49" s="445"/>
      <c r="K49" s="455">
        <v>3535138</v>
      </c>
      <c r="L49" s="448"/>
      <c r="M49" s="446">
        <v>3049028</v>
      </c>
      <c r="N49" s="445"/>
      <c r="O49" s="446">
        <v>3348205</v>
      </c>
      <c r="P49" s="445"/>
      <c r="Q49" s="455">
        <v>11218782</v>
      </c>
      <c r="R49" s="448"/>
      <c r="S49" s="446">
        <v>10625070</v>
      </c>
      <c r="T49" s="445"/>
      <c r="U49" s="455">
        <v>10936219</v>
      </c>
      <c r="V49" s="448"/>
      <c r="W49" s="446">
        <v>11067663</v>
      </c>
      <c r="X49" s="445"/>
      <c r="Y49" s="455">
        <v>11371611</v>
      </c>
      <c r="Z49" s="448"/>
      <c r="AA49" s="446">
        <v>11045390</v>
      </c>
      <c r="AB49" s="445">
        <f t="shared" si="7"/>
        <v>86418160</v>
      </c>
      <c r="AC49" s="455">
        <f t="shared" si="7"/>
        <v>86418160</v>
      </c>
      <c r="AD49" s="456"/>
      <c r="AE49" s="456"/>
      <c r="AF49" s="456"/>
      <c r="AG49" s="456"/>
      <c r="AH49" s="456"/>
      <c r="AI49" s="457"/>
      <c r="AJ49" s="457"/>
      <c r="AK49" s="458"/>
      <c r="AL49" s="458"/>
      <c r="AM49" s="458"/>
      <c r="AN49" s="458"/>
      <c r="AO49" s="458"/>
      <c r="AP49" s="459"/>
      <c r="AQ49" s="459"/>
      <c r="AR49" s="459"/>
      <c r="AS49" s="459"/>
      <c r="AT49" s="459"/>
      <c r="AU49" s="459"/>
      <c r="AV49" s="459"/>
      <c r="AW49" s="459"/>
    </row>
    <row r="50" spans="1:49" ht="15.75" customHeight="1">
      <c r="A50" s="440">
        <v>2</v>
      </c>
      <c r="B50" s="441" t="s">
        <v>151</v>
      </c>
      <c r="C50" s="443"/>
      <c r="D50" s="445"/>
      <c r="E50" s="455">
        <v>39578</v>
      </c>
      <c r="F50" s="445"/>
      <c r="G50" s="455">
        <v>37294</v>
      </c>
      <c r="H50" s="448"/>
      <c r="I50" s="446">
        <v>44971</v>
      </c>
      <c r="J50" s="445"/>
      <c r="K50" s="455">
        <v>36531</v>
      </c>
      <c r="L50" s="448"/>
      <c r="M50" s="446">
        <v>28288</v>
      </c>
      <c r="N50" s="445"/>
      <c r="O50" s="446">
        <v>30042</v>
      </c>
      <c r="P50" s="445"/>
      <c r="Q50" s="455">
        <v>28189</v>
      </c>
      <c r="R50" s="448"/>
      <c r="S50" s="446">
        <v>3710</v>
      </c>
      <c r="T50" s="445"/>
      <c r="U50" s="455">
        <v>5503</v>
      </c>
      <c r="V50" s="448"/>
      <c r="W50" s="446">
        <v>7396</v>
      </c>
      <c r="X50" s="445"/>
      <c r="Y50" s="455">
        <v>10344</v>
      </c>
      <c r="Z50" s="448"/>
      <c r="AA50" s="446">
        <v>10191</v>
      </c>
      <c r="AB50" s="445">
        <f t="shared" si="7"/>
        <v>282037</v>
      </c>
      <c r="AC50" s="455">
        <f t="shared" si="7"/>
        <v>282037</v>
      </c>
      <c r="AD50" s="456"/>
      <c r="AE50" s="456"/>
      <c r="AF50" s="456"/>
      <c r="AG50" s="456"/>
      <c r="AH50" s="456"/>
      <c r="AI50" s="457"/>
      <c r="AJ50" s="457"/>
      <c r="AK50" s="458"/>
      <c r="AL50" s="458"/>
      <c r="AM50" s="458"/>
      <c r="AN50" s="458"/>
      <c r="AO50" s="458"/>
      <c r="AP50" s="459"/>
      <c r="AQ50" s="459"/>
      <c r="AR50" s="459"/>
      <c r="AS50" s="459"/>
      <c r="AT50" s="459"/>
      <c r="AU50" s="459"/>
      <c r="AV50" s="459"/>
      <c r="AW50" s="459"/>
    </row>
    <row r="51" spans="1:49" ht="16.5" customHeight="1" thickBot="1">
      <c r="A51" s="460">
        <v>3</v>
      </c>
      <c r="B51" s="461" t="s">
        <v>152</v>
      </c>
      <c r="C51" s="463"/>
      <c r="D51" s="560"/>
      <c r="E51" s="561">
        <v>2384</v>
      </c>
      <c r="F51" s="560"/>
      <c r="G51" s="561">
        <v>2359</v>
      </c>
      <c r="H51" s="562"/>
      <c r="I51" s="563">
        <v>2212</v>
      </c>
      <c r="J51" s="560"/>
      <c r="K51" s="561">
        <v>1711</v>
      </c>
      <c r="L51" s="562"/>
      <c r="M51" s="563">
        <v>1842</v>
      </c>
      <c r="N51" s="465"/>
      <c r="O51" s="466">
        <v>1204</v>
      </c>
      <c r="P51" s="465"/>
      <c r="Q51" s="477">
        <v>1523</v>
      </c>
      <c r="R51" s="468"/>
      <c r="S51" s="466">
        <v>2970</v>
      </c>
      <c r="T51" s="465"/>
      <c r="U51" s="477">
        <v>1755</v>
      </c>
      <c r="V51" s="468"/>
      <c r="W51" s="466">
        <v>1298</v>
      </c>
      <c r="X51" s="465"/>
      <c r="Y51" s="477">
        <v>1528</v>
      </c>
      <c r="Z51" s="468"/>
      <c r="AA51" s="466">
        <v>1973</v>
      </c>
      <c r="AB51" s="465">
        <f t="shared" si="7"/>
        <v>22759</v>
      </c>
      <c r="AC51" s="477">
        <f t="shared" si="7"/>
        <v>22759</v>
      </c>
      <c r="AD51" s="456"/>
      <c r="AE51" s="456"/>
      <c r="AF51" s="456"/>
      <c r="AG51" s="456"/>
      <c r="AH51" s="456"/>
      <c r="AI51" s="457"/>
      <c r="AJ51" s="457"/>
      <c r="AK51" s="458"/>
      <c r="AL51" s="458"/>
      <c r="AM51" s="458"/>
      <c r="AN51" s="458"/>
      <c r="AO51" s="458"/>
      <c r="AP51" s="459"/>
      <c r="AQ51" s="459"/>
      <c r="AR51" s="459"/>
      <c r="AS51" s="459"/>
      <c r="AT51" s="459"/>
      <c r="AU51" s="459"/>
      <c r="AV51" s="459"/>
      <c r="AW51" s="459"/>
    </row>
    <row r="52" spans="1:92" ht="14.25" customHeight="1" thickBot="1">
      <c r="A52" s="478"/>
      <c r="B52" s="479"/>
      <c r="C52" s="481"/>
      <c r="D52" s="483"/>
      <c r="E52" s="484">
        <f>E47-E48</f>
        <v>63148.64000000013</v>
      </c>
      <c r="F52" s="485"/>
      <c r="G52" s="564">
        <f>G47-G48</f>
        <v>79274.68999999948</v>
      </c>
      <c r="H52" s="485"/>
      <c r="I52" s="564">
        <f>I47-I48</f>
        <v>98185.3999999999</v>
      </c>
      <c r="J52" s="481"/>
      <c r="K52" s="484">
        <f>K47-K48</f>
        <v>83395.6499999999</v>
      </c>
      <c r="L52" s="485"/>
      <c r="M52" s="564">
        <f>M47-M48</f>
        <v>74969.83999999985</v>
      </c>
      <c r="N52" s="565"/>
      <c r="O52" s="490">
        <f>O47-O48</f>
        <v>58422.810000000056</v>
      </c>
      <c r="P52" s="566"/>
      <c r="Q52" s="490">
        <f aca="true" t="shared" si="8" ref="Q52:AA52">Q47-Q48</f>
        <v>167497.2199999988</v>
      </c>
      <c r="R52" s="566"/>
      <c r="S52" s="490">
        <f t="shared" si="8"/>
        <v>164098.2400000021</v>
      </c>
      <c r="T52" s="566"/>
      <c r="U52" s="490">
        <f t="shared" si="8"/>
        <v>92417.62000000104</v>
      </c>
      <c r="V52" s="566"/>
      <c r="W52" s="490">
        <f t="shared" si="8"/>
        <v>264170.9399999995</v>
      </c>
      <c r="X52" s="490"/>
      <c r="Y52" s="490">
        <f t="shared" si="8"/>
        <v>190372.3999999985</v>
      </c>
      <c r="Z52" s="490"/>
      <c r="AA52" s="490">
        <f t="shared" si="8"/>
        <v>191580.66999999806</v>
      </c>
      <c r="AB52" s="491">
        <f t="shared" si="7"/>
        <v>1527534.1199999973</v>
      </c>
      <c r="AC52" s="567">
        <f t="shared" si="7"/>
        <v>1527534.1199999973</v>
      </c>
      <c r="AD52" s="493"/>
      <c r="AE52" s="493"/>
      <c r="AF52" s="493"/>
      <c r="AG52" s="493"/>
      <c r="AH52" s="493"/>
      <c r="AI52" s="494"/>
      <c r="AJ52" s="494"/>
      <c r="AK52" s="495"/>
      <c r="AL52" s="495"/>
      <c r="AM52" s="495"/>
      <c r="AN52" s="495"/>
      <c r="AO52" s="495"/>
      <c r="AP52" s="496"/>
      <c r="AQ52" s="496"/>
      <c r="AR52" s="496"/>
      <c r="AS52" s="496"/>
      <c r="AT52" s="496"/>
      <c r="AU52" s="496"/>
      <c r="AV52" s="496"/>
      <c r="AW52" s="496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7"/>
      <c r="BK52" s="497"/>
      <c r="BL52" s="497"/>
      <c r="BM52" s="497"/>
      <c r="BN52" s="497"/>
      <c r="BO52" s="497"/>
      <c r="BP52" s="497"/>
      <c r="BQ52" s="497"/>
      <c r="BR52" s="497"/>
      <c r="BS52" s="497"/>
      <c r="BT52" s="497"/>
      <c r="BU52" s="497"/>
      <c r="BV52" s="497"/>
      <c r="BW52" s="497"/>
      <c r="BX52" s="497"/>
      <c r="BY52" s="497"/>
      <c r="BZ52" s="497"/>
      <c r="CA52" s="497"/>
      <c r="CB52" s="497"/>
      <c r="CC52" s="497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7"/>
    </row>
    <row r="53" spans="1:49" ht="12.75">
      <c r="A53" s="226"/>
      <c r="B53" s="458"/>
      <c r="C53" s="509"/>
      <c r="D53" s="509"/>
      <c r="E53" s="509"/>
      <c r="F53" s="509"/>
      <c r="G53" s="509"/>
      <c r="H53" s="509">
        <f>D47+F47+H47</f>
        <v>6018043</v>
      </c>
      <c r="I53" s="509"/>
      <c r="J53" s="509"/>
      <c r="K53" s="509"/>
      <c r="L53" s="509"/>
      <c r="M53" s="509"/>
      <c r="N53" s="509">
        <f>H53+J47+L47+N47</f>
        <v>12221136</v>
      </c>
      <c r="O53" s="509"/>
      <c r="P53" s="509"/>
      <c r="Q53" s="509"/>
      <c r="R53" s="509"/>
      <c r="S53" s="509"/>
      <c r="T53" s="509">
        <f>N53+P47+R47+T47</f>
        <v>36822927.6</v>
      </c>
      <c r="U53" s="509"/>
      <c r="V53" s="509"/>
      <c r="W53" s="509"/>
      <c r="X53" s="509"/>
      <c r="Y53" s="509"/>
      <c r="Z53" s="509">
        <f>T53+V47+X47+Z47</f>
        <v>62559861.2</v>
      </c>
      <c r="AA53" s="509">
        <f>E47+G47+I47+K47+M47+O47+Q47+S47+U47+W47+Y47+AA47</f>
        <v>88250490.11999999</v>
      </c>
      <c r="AB53" s="509">
        <f>Z47+X47+X47+V47+T47+R47+P47+N47+L47+J47+H47+F47</f>
        <v>69879442.2</v>
      </c>
      <c r="AC53" s="509"/>
      <c r="AD53" s="509"/>
      <c r="AE53" s="509"/>
      <c r="AF53" s="509"/>
      <c r="AG53" s="509"/>
      <c r="AH53" s="509"/>
      <c r="AI53" s="458"/>
      <c r="AJ53" s="458"/>
      <c r="AK53" s="458"/>
      <c r="AL53" s="458"/>
      <c r="AM53" s="458"/>
      <c r="AN53" s="458"/>
      <c r="AO53" s="458"/>
      <c r="AP53" s="226"/>
      <c r="AQ53" s="226"/>
      <c r="AR53" s="226"/>
      <c r="AS53" s="226"/>
      <c r="AT53" s="226"/>
      <c r="AU53" s="226"/>
      <c r="AV53" s="226"/>
      <c r="AW53" s="226"/>
    </row>
    <row r="54" spans="1:49" ht="12.75">
      <c r="A54" s="226"/>
      <c r="B54" s="226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</row>
    <row r="55" spans="1:49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</row>
    <row r="56" spans="1:49" ht="12.75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</row>
    <row r="57" spans="1:49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</row>
    <row r="58" spans="1:49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</row>
    <row r="59" spans="1:49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</row>
    <row r="60" spans="1:49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</row>
    <row r="61" spans="1:49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</row>
    <row r="62" spans="1:49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</row>
    <row r="63" spans="1:49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6"/>
      <c r="AV63" s="226"/>
      <c r="AW63" s="226"/>
    </row>
    <row r="64" spans="1:49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</row>
    <row r="65" spans="1:49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</row>
    <row r="66" spans="1:49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</row>
    <row r="67" spans="1:49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</row>
    <row r="68" spans="1:49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</row>
    <row r="69" spans="1:49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</row>
  </sheetData>
  <sheetProtection/>
  <mergeCells count="20">
    <mergeCell ref="B4:AC4"/>
    <mergeCell ref="B32:AC32"/>
    <mergeCell ref="B38:AC38"/>
    <mergeCell ref="V2:W2"/>
    <mergeCell ref="X2:Y2"/>
    <mergeCell ref="Z2:AA2"/>
    <mergeCell ref="AB2:AC2"/>
    <mergeCell ref="N2:O2"/>
    <mergeCell ref="P2:Q2"/>
    <mergeCell ref="R2:S2"/>
    <mergeCell ref="T2:U2"/>
    <mergeCell ref="A1:L1"/>
    <mergeCell ref="A2:A3"/>
    <mergeCell ref="B2:B3"/>
    <mergeCell ref="C2:C3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8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17" customWidth="1"/>
    <col min="2" max="2" width="23.875" style="17" customWidth="1"/>
    <col min="3" max="3" width="12.00390625" style="17" customWidth="1"/>
    <col min="4" max="4" width="11.75390625" style="17" customWidth="1"/>
    <col min="5" max="5" width="12.625" style="17" customWidth="1"/>
    <col min="6" max="6" width="13.125" style="17" customWidth="1"/>
    <col min="7" max="8" width="12.25390625" style="17" customWidth="1"/>
    <col min="9" max="9" width="13.25390625" style="17" customWidth="1"/>
    <col min="10" max="11" width="12.375" style="17" customWidth="1"/>
    <col min="12" max="12" width="11.375" style="17" customWidth="1"/>
    <col min="13" max="13" width="11.625" style="17" customWidth="1"/>
    <col min="14" max="14" width="11.75390625" style="17" customWidth="1"/>
    <col min="15" max="15" width="16.00390625" style="17" customWidth="1"/>
    <col min="16" max="16" width="12.875" style="17" hidden="1" customWidth="1"/>
    <col min="17" max="17" width="13.25390625" style="17" customWidth="1"/>
    <col min="18" max="16384" width="9.125" style="17" customWidth="1"/>
  </cols>
  <sheetData>
    <row r="1" spans="1:7" ht="54.75" customHeight="1" thickBot="1">
      <c r="A1" s="16" t="s">
        <v>47</v>
      </c>
      <c r="B1" s="16"/>
      <c r="C1" s="16"/>
      <c r="D1" s="16"/>
      <c r="E1" s="16"/>
      <c r="F1" s="16"/>
      <c r="G1" s="16"/>
    </row>
    <row r="2" spans="1:15" ht="19.5" customHeight="1" thickBot="1">
      <c r="A2" s="822" t="s">
        <v>0</v>
      </c>
      <c r="B2" s="822" t="s">
        <v>1</v>
      </c>
      <c r="C2" s="18" t="s">
        <v>3</v>
      </c>
      <c r="D2" s="18" t="s">
        <v>6</v>
      </c>
      <c r="E2" s="19" t="s">
        <v>7</v>
      </c>
      <c r="F2" s="19" t="s">
        <v>8</v>
      </c>
      <c r="G2" s="19" t="s">
        <v>9</v>
      </c>
      <c r="H2" s="20" t="s">
        <v>10</v>
      </c>
      <c r="I2" s="20" t="s">
        <v>11</v>
      </c>
      <c r="J2" s="20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1" t="s">
        <v>51</v>
      </c>
    </row>
    <row r="3" spans="1:15" ht="32.25" customHeight="1" thickBot="1">
      <c r="A3" s="823"/>
      <c r="B3" s="823"/>
      <c r="C3" s="22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</row>
    <row r="4" spans="1:15" ht="27" customHeight="1">
      <c r="A4" s="23"/>
      <c r="B4" s="796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</row>
    <row r="5" spans="1:24" ht="27" customHeight="1">
      <c r="A5" s="24">
        <v>1</v>
      </c>
      <c r="B5" s="25" t="s">
        <v>17</v>
      </c>
      <c r="C5" s="26">
        <v>570</v>
      </c>
      <c r="D5" s="27">
        <v>324</v>
      </c>
      <c r="E5" s="28">
        <v>273</v>
      </c>
      <c r="F5" s="29">
        <v>885</v>
      </c>
      <c r="G5" s="26">
        <v>175</v>
      </c>
      <c r="H5" s="29">
        <v>100</v>
      </c>
      <c r="I5" s="26">
        <v>41</v>
      </c>
      <c r="J5" s="29">
        <v>75</v>
      </c>
      <c r="K5" s="26">
        <v>221</v>
      </c>
      <c r="L5" s="29">
        <v>241</v>
      </c>
      <c r="M5" s="26">
        <v>558</v>
      </c>
      <c r="N5" s="29">
        <v>555</v>
      </c>
      <c r="O5" s="30">
        <f>N5+M5+L5+K5+J5+I5+H5+G5+F5+E5+D5+C5</f>
        <v>4018</v>
      </c>
      <c r="P5" s="31">
        <f>O5*0.155*1.18</f>
        <v>734.8921999999999</v>
      </c>
      <c r="Q5" s="32"/>
      <c r="R5" s="32"/>
      <c r="S5" s="32"/>
      <c r="T5" s="32"/>
      <c r="U5" s="32"/>
      <c r="V5" s="32"/>
      <c r="W5" s="32"/>
      <c r="X5" s="32"/>
    </row>
    <row r="6" spans="1:24" ht="27" customHeight="1">
      <c r="A6" s="24">
        <v>2</v>
      </c>
      <c r="B6" s="25" t="s">
        <v>32</v>
      </c>
      <c r="C6" s="26">
        <v>5600</v>
      </c>
      <c r="D6" s="27">
        <v>4750</v>
      </c>
      <c r="E6" s="28">
        <v>5100</v>
      </c>
      <c r="F6" s="29">
        <v>5550</v>
      </c>
      <c r="G6" s="26">
        <v>4950</v>
      </c>
      <c r="H6" s="29">
        <v>5200</v>
      </c>
      <c r="I6" s="26">
        <v>5450</v>
      </c>
      <c r="J6" s="29">
        <v>5700</v>
      </c>
      <c r="K6" s="26">
        <v>5550</v>
      </c>
      <c r="L6" s="29">
        <v>5400</v>
      </c>
      <c r="M6" s="26">
        <v>5600</v>
      </c>
      <c r="N6" s="29">
        <v>5800</v>
      </c>
      <c r="O6" s="30">
        <f aca="true" t="shared" si="0" ref="O6:O26">N6+M6+L6+K6+J6+I6+H6+G6+F6+E6+D6+C6</f>
        <v>64650</v>
      </c>
      <c r="P6" s="31">
        <f aca="true" t="shared" si="1" ref="P6:P43">O6*0.155*1.18</f>
        <v>11824.484999999999</v>
      </c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24">
        <v>3</v>
      </c>
      <c r="B7" s="25" t="s">
        <v>48</v>
      </c>
      <c r="C7" s="26">
        <v>5032</v>
      </c>
      <c r="D7" s="27">
        <v>5076</v>
      </c>
      <c r="E7" s="26">
        <v>3710</v>
      </c>
      <c r="F7" s="29">
        <v>2997</v>
      </c>
      <c r="G7" s="26">
        <v>3421</v>
      </c>
      <c r="H7" s="29">
        <v>5953</v>
      </c>
      <c r="I7" s="26">
        <v>4904</v>
      </c>
      <c r="J7" s="29">
        <v>4396</v>
      </c>
      <c r="K7" s="26">
        <v>4225</v>
      </c>
      <c r="L7" s="29">
        <v>2519</v>
      </c>
      <c r="M7" s="26">
        <v>3511</v>
      </c>
      <c r="N7" s="29">
        <v>3679</v>
      </c>
      <c r="O7" s="30">
        <f t="shared" si="0"/>
        <v>49423</v>
      </c>
      <c r="P7" s="31">
        <f t="shared" si="1"/>
        <v>9039.466699999999</v>
      </c>
      <c r="Q7" s="32"/>
      <c r="R7" s="32"/>
      <c r="S7" s="32"/>
      <c r="T7" s="32"/>
      <c r="U7" s="32"/>
      <c r="V7" s="32"/>
      <c r="W7" s="32"/>
      <c r="X7" s="32"/>
    </row>
    <row r="8" spans="1:24" ht="27" customHeight="1">
      <c r="A8" s="33">
        <v>4</v>
      </c>
      <c r="B8" s="25" t="s">
        <v>36</v>
      </c>
      <c r="C8" s="26">
        <v>1920</v>
      </c>
      <c r="D8" s="29">
        <v>2360</v>
      </c>
      <c r="E8" s="26">
        <v>1511</v>
      </c>
      <c r="F8" s="29">
        <v>543</v>
      </c>
      <c r="G8" s="26">
        <v>1161</v>
      </c>
      <c r="H8" s="29">
        <v>1047</v>
      </c>
      <c r="I8" s="26">
        <v>971</v>
      </c>
      <c r="J8" s="29">
        <v>1000</v>
      </c>
      <c r="K8" s="26">
        <v>1080</v>
      </c>
      <c r="L8" s="29">
        <v>766</v>
      </c>
      <c r="M8" s="26">
        <v>5411</v>
      </c>
      <c r="N8" s="29">
        <v>5400</v>
      </c>
      <c r="O8" s="30">
        <f t="shared" si="0"/>
        <v>23170</v>
      </c>
      <c r="P8" s="31">
        <f t="shared" si="1"/>
        <v>4237.793</v>
      </c>
      <c r="Q8" s="32"/>
      <c r="R8" s="32"/>
      <c r="S8" s="32"/>
      <c r="T8" s="32"/>
      <c r="U8" s="32"/>
      <c r="V8" s="32"/>
      <c r="W8" s="32"/>
      <c r="X8" s="32"/>
    </row>
    <row r="9" spans="1:24" ht="20.25" customHeight="1">
      <c r="A9" s="33">
        <v>5</v>
      </c>
      <c r="B9" s="25" t="s">
        <v>37</v>
      </c>
      <c r="C9" s="26">
        <v>196836</v>
      </c>
      <c r="D9" s="29">
        <v>190204</v>
      </c>
      <c r="E9" s="26">
        <v>192531</v>
      </c>
      <c r="F9" s="29">
        <v>170287</v>
      </c>
      <c r="G9" s="26">
        <v>116845</v>
      </c>
      <c r="H9" s="29">
        <v>131804</v>
      </c>
      <c r="I9" s="26">
        <v>121605</v>
      </c>
      <c r="J9" s="29">
        <v>152684</v>
      </c>
      <c r="K9" s="26">
        <v>184453</v>
      </c>
      <c r="L9" s="29">
        <v>183588</v>
      </c>
      <c r="M9" s="26">
        <v>171456</v>
      </c>
      <c r="N9" s="29">
        <v>186832</v>
      </c>
      <c r="O9" s="30">
        <f t="shared" si="0"/>
        <v>1999125</v>
      </c>
      <c r="P9" s="31">
        <f>O9*0.117*1.18</f>
        <v>275999.1975</v>
      </c>
      <c r="Q9" s="32"/>
      <c r="R9" s="32"/>
      <c r="S9" s="32"/>
      <c r="T9" s="32"/>
      <c r="U9" s="32"/>
      <c r="V9" s="32"/>
      <c r="W9" s="32"/>
      <c r="X9" s="32"/>
    </row>
    <row r="10" spans="1:24" ht="27" customHeight="1">
      <c r="A10" s="33">
        <v>6</v>
      </c>
      <c r="B10" s="25" t="s">
        <v>38</v>
      </c>
      <c r="C10" s="26">
        <v>48534</v>
      </c>
      <c r="D10" s="29">
        <v>44128</v>
      </c>
      <c r="E10" s="26">
        <v>44932</v>
      </c>
      <c r="F10" s="29">
        <v>42077</v>
      </c>
      <c r="G10" s="26">
        <v>36176</v>
      </c>
      <c r="H10" s="29">
        <v>34855</v>
      </c>
      <c r="I10" s="26">
        <v>30883</v>
      </c>
      <c r="J10" s="29">
        <v>32326</v>
      </c>
      <c r="K10" s="26">
        <v>36460</v>
      </c>
      <c r="L10" s="29">
        <v>25913</v>
      </c>
      <c r="M10" s="26">
        <v>21520</v>
      </c>
      <c r="N10" s="29">
        <v>22560</v>
      </c>
      <c r="O10" s="30">
        <f t="shared" si="0"/>
        <v>420364</v>
      </c>
      <c r="P10" s="31">
        <f t="shared" si="1"/>
        <v>76884.5756</v>
      </c>
      <c r="Q10" s="32"/>
      <c r="R10" s="32"/>
      <c r="S10" s="32"/>
      <c r="T10" s="32"/>
      <c r="U10" s="32"/>
      <c r="V10" s="32"/>
      <c r="W10" s="32"/>
      <c r="X10" s="32"/>
    </row>
    <row r="11" spans="1:24" ht="27" customHeight="1">
      <c r="A11" s="33">
        <v>7</v>
      </c>
      <c r="B11" s="25" t="s">
        <v>18</v>
      </c>
      <c r="C11" s="26">
        <v>377</v>
      </c>
      <c r="D11" s="29">
        <v>697</v>
      </c>
      <c r="E11" s="26">
        <v>513</v>
      </c>
      <c r="F11" s="29"/>
      <c r="G11" s="26"/>
      <c r="H11" s="29"/>
      <c r="I11" s="26"/>
      <c r="J11" s="29"/>
      <c r="K11" s="26"/>
      <c r="L11" s="29"/>
      <c r="M11" s="26"/>
      <c r="N11" s="29"/>
      <c r="O11" s="30">
        <f t="shared" si="0"/>
        <v>1587</v>
      </c>
      <c r="P11" s="31">
        <f t="shared" si="1"/>
        <v>290.2623</v>
      </c>
      <c r="Q11" s="32"/>
      <c r="R11" s="32"/>
      <c r="S11" s="32"/>
      <c r="T11" s="32"/>
      <c r="U11" s="32"/>
      <c r="V11" s="32"/>
      <c r="W11" s="32"/>
      <c r="X11" s="32"/>
    </row>
    <row r="12" spans="1:16" ht="27" customHeight="1">
      <c r="A12" s="33">
        <v>8</v>
      </c>
      <c r="B12" s="25" t="s">
        <v>19</v>
      </c>
      <c r="C12" s="34"/>
      <c r="D12" s="35"/>
      <c r="E12" s="36">
        <v>900</v>
      </c>
      <c r="F12" s="29"/>
      <c r="G12" s="26"/>
      <c r="H12" s="37"/>
      <c r="I12" s="38"/>
      <c r="J12" s="29"/>
      <c r="K12" s="39"/>
      <c r="L12" s="37"/>
      <c r="M12" s="38"/>
      <c r="N12" s="37">
        <v>1430</v>
      </c>
      <c r="O12" s="30">
        <f t="shared" si="0"/>
        <v>2330</v>
      </c>
      <c r="P12" s="31"/>
    </row>
    <row r="13" spans="1:16" ht="36.75" customHeight="1">
      <c r="A13" s="33">
        <v>9</v>
      </c>
      <c r="B13" s="25" t="s">
        <v>35</v>
      </c>
      <c r="C13" s="39">
        <v>140</v>
      </c>
      <c r="D13" s="35">
        <v>390</v>
      </c>
      <c r="E13" s="26">
        <v>150</v>
      </c>
      <c r="F13" s="29">
        <v>90</v>
      </c>
      <c r="G13" s="26">
        <v>580</v>
      </c>
      <c r="H13" s="37">
        <v>550</v>
      </c>
      <c r="I13" s="39">
        <v>1120</v>
      </c>
      <c r="J13" s="29">
        <v>630</v>
      </c>
      <c r="K13" s="39">
        <v>1340</v>
      </c>
      <c r="L13" s="37">
        <v>1320</v>
      </c>
      <c r="M13" s="39">
        <v>1200</v>
      </c>
      <c r="N13" s="37">
        <v>390</v>
      </c>
      <c r="O13" s="30">
        <f t="shared" si="0"/>
        <v>7900</v>
      </c>
      <c r="P13" s="31"/>
    </row>
    <row r="14" spans="1:16" ht="27" customHeight="1">
      <c r="A14" s="33">
        <v>10</v>
      </c>
      <c r="B14" s="25" t="s">
        <v>20</v>
      </c>
      <c r="C14" s="39"/>
      <c r="D14" s="35">
        <v>832</v>
      </c>
      <c r="E14" s="26"/>
      <c r="F14" s="29">
        <v>1557</v>
      </c>
      <c r="G14" s="26"/>
      <c r="H14" s="37">
        <v>906</v>
      </c>
      <c r="I14" s="26"/>
      <c r="J14" s="29">
        <v>1073</v>
      </c>
      <c r="K14" s="39"/>
      <c r="L14" s="37"/>
      <c r="M14" s="39"/>
      <c r="N14" s="37">
        <v>5975</v>
      </c>
      <c r="O14" s="30">
        <f t="shared" si="0"/>
        <v>10343</v>
      </c>
      <c r="P14" s="31"/>
    </row>
    <row r="15" spans="1:16" ht="23.25" customHeight="1">
      <c r="A15" s="33">
        <v>11</v>
      </c>
      <c r="B15" s="25" t="s">
        <v>21</v>
      </c>
      <c r="C15" s="39">
        <v>7280</v>
      </c>
      <c r="D15" s="29">
        <v>7500</v>
      </c>
      <c r="E15" s="26">
        <v>6880</v>
      </c>
      <c r="F15" s="29">
        <v>5140</v>
      </c>
      <c r="G15" s="26">
        <v>5040</v>
      </c>
      <c r="H15" s="37">
        <v>4320</v>
      </c>
      <c r="I15" s="26">
        <v>2360</v>
      </c>
      <c r="J15" s="37">
        <v>2360</v>
      </c>
      <c r="K15" s="39">
        <v>8720</v>
      </c>
      <c r="L15" s="37">
        <v>7920</v>
      </c>
      <c r="M15" s="39">
        <v>6660</v>
      </c>
      <c r="N15" s="37">
        <v>8020</v>
      </c>
      <c r="O15" s="30">
        <f t="shared" si="0"/>
        <v>72200</v>
      </c>
      <c r="P15" s="31">
        <f t="shared" si="1"/>
        <v>13205.38</v>
      </c>
    </row>
    <row r="16" spans="1:16" ht="21" customHeight="1">
      <c r="A16" s="33">
        <v>12</v>
      </c>
      <c r="B16" s="25" t="s">
        <v>63</v>
      </c>
      <c r="C16" s="39">
        <v>453140</v>
      </c>
      <c r="D16" s="29">
        <v>890020</v>
      </c>
      <c r="E16" s="26">
        <v>926000</v>
      </c>
      <c r="F16" s="29">
        <v>902000</v>
      </c>
      <c r="G16" s="26">
        <v>918200</v>
      </c>
      <c r="H16" s="37">
        <v>944000</v>
      </c>
      <c r="I16" s="26">
        <v>1052200</v>
      </c>
      <c r="J16" s="37">
        <v>566200</v>
      </c>
      <c r="K16" s="39">
        <v>845187</v>
      </c>
      <c r="L16" s="37">
        <v>885759</v>
      </c>
      <c r="M16" s="39">
        <v>593634</v>
      </c>
      <c r="N16" s="37">
        <v>599150</v>
      </c>
      <c r="O16" s="30">
        <f t="shared" si="0"/>
        <v>9575490</v>
      </c>
      <c r="P16" s="31">
        <f>O16*0.025*1.18</f>
        <v>282476.95499999996</v>
      </c>
    </row>
    <row r="17" spans="1:16" ht="27" customHeight="1">
      <c r="A17" s="33">
        <v>13</v>
      </c>
      <c r="B17" s="25" t="s">
        <v>22</v>
      </c>
      <c r="C17" s="39"/>
      <c r="D17" s="35">
        <v>593</v>
      </c>
      <c r="E17" s="26">
        <v>50</v>
      </c>
      <c r="F17" s="29"/>
      <c r="G17" s="26"/>
      <c r="H17" s="37"/>
      <c r="I17" s="26">
        <v>450</v>
      </c>
      <c r="J17" s="37"/>
      <c r="K17" s="39"/>
      <c r="L17" s="37"/>
      <c r="M17" s="39"/>
      <c r="N17" s="37"/>
      <c r="O17" s="30">
        <f t="shared" si="0"/>
        <v>1093</v>
      </c>
      <c r="P17" s="31">
        <f t="shared" si="1"/>
        <v>199.9097</v>
      </c>
    </row>
    <row r="18" spans="1:16" ht="34.5" customHeight="1">
      <c r="A18" s="33">
        <v>14</v>
      </c>
      <c r="B18" s="25" t="s">
        <v>30</v>
      </c>
      <c r="C18" s="40"/>
      <c r="D18" s="41"/>
      <c r="E18" s="42"/>
      <c r="F18" s="29"/>
      <c r="G18" s="39"/>
      <c r="H18" s="35">
        <v>9050</v>
      </c>
      <c r="I18" s="26">
        <v>4860</v>
      </c>
      <c r="J18" s="37">
        <v>4650</v>
      </c>
      <c r="K18" s="39">
        <v>3040</v>
      </c>
      <c r="L18" s="37"/>
      <c r="M18" s="43"/>
      <c r="N18" s="44"/>
      <c r="O18" s="30">
        <f t="shared" si="0"/>
        <v>21600</v>
      </c>
      <c r="P18" s="31">
        <f t="shared" si="1"/>
        <v>3950.64</v>
      </c>
    </row>
    <row r="19" spans="1:18" ht="27" customHeight="1">
      <c r="A19" s="33">
        <v>15</v>
      </c>
      <c r="B19" s="25" t="s">
        <v>24</v>
      </c>
      <c r="C19" s="39">
        <v>1000</v>
      </c>
      <c r="D19" s="37">
        <v>2300</v>
      </c>
      <c r="E19" s="39">
        <v>1900</v>
      </c>
      <c r="F19" s="29">
        <v>2040</v>
      </c>
      <c r="G19" s="39">
        <v>1220</v>
      </c>
      <c r="H19" s="35">
        <v>1120</v>
      </c>
      <c r="I19" s="26">
        <v>1660</v>
      </c>
      <c r="J19" s="37">
        <v>1360</v>
      </c>
      <c r="K19" s="39">
        <v>1360</v>
      </c>
      <c r="L19" s="37">
        <v>1400</v>
      </c>
      <c r="M19" s="39">
        <v>1500</v>
      </c>
      <c r="N19" s="37">
        <v>1580</v>
      </c>
      <c r="O19" s="30">
        <f t="shared" si="0"/>
        <v>18440</v>
      </c>
      <c r="P19" s="31">
        <f t="shared" si="1"/>
        <v>3372.6759999999995</v>
      </c>
      <c r="Q19" s="45"/>
      <c r="R19" s="45"/>
    </row>
    <row r="20" spans="1:18" ht="27" customHeight="1">
      <c r="A20" s="33">
        <v>16</v>
      </c>
      <c r="B20" s="25" t="s">
        <v>31</v>
      </c>
      <c r="C20" s="39">
        <v>184</v>
      </c>
      <c r="D20" s="37">
        <v>247</v>
      </c>
      <c r="E20" s="39">
        <v>306</v>
      </c>
      <c r="F20" s="29">
        <v>198</v>
      </c>
      <c r="G20" s="39">
        <v>249</v>
      </c>
      <c r="H20" s="35">
        <v>212</v>
      </c>
      <c r="I20" s="26">
        <v>156</v>
      </c>
      <c r="J20" s="37">
        <v>137</v>
      </c>
      <c r="K20" s="39">
        <v>214</v>
      </c>
      <c r="L20" s="37">
        <v>211</v>
      </c>
      <c r="M20" s="39">
        <v>210</v>
      </c>
      <c r="N20" s="37">
        <v>450</v>
      </c>
      <c r="O20" s="30">
        <f t="shared" si="0"/>
        <v>2774</v>
      </c>
      <c r="P20" s="31"/>
      <c r="Q20" s="45"/>
      <c r="R20" s="45"/>
    </row>
    <row r="21" spans="1:16" ht="27" customHeight="1">
      <c r="A21" s="33">
        <v>17</v>
      </c>
      <c r="B21" s="46" t="s">
        <v>34</v>
      </c>
      <c r="C21" s="39">
        <v>20040</v>
      </c>
      <c r="D21" s="29">
        <v>26500</v>
      </c>
      <c r="E21" s="39">
        <v>28000</v>
      </c>
      <c r="F21" s="29">
        <v>27740</v>
      </c>
      <c r="G21" s="26">
        <v>22400</v>
      </c>
      <c r="H21" s="37">
        <v>27660</v>
      </c>
      <c r="I21" s="26">
        <v>29760</v>
      </c>
      <c r="J21" s="37">
        <v>28200</v>
      </c>
      <c r="K21" s="39">
        <v>29500</v>
      </c>
      <c r="L21" s="37">
        <v>25140</v>
      </c>
      <c r="M21" s="39">
        <v>27460</v>
      </c>
      <c r="N21" s="37">
        <v>28600</v>
      </c>
      <c r="O21" s="30">
        <f t="shared" si="0"/>
        <v>321000</v>
      </c>
      <c r="P21" s="47">
        <f>O21*0.155*1.18</f>
        <v>58710.899999999994</v>
      </c>
    </row>
    <row r="22" spans="1:16" ht="27" customHeight="1" hidden="1">
      <c r="A22" s="33"/>
      <c r="B22" s="46"/>
      <c r="C22" s="39"/>
      <c r="D22" s="39"/>
      <c r="E22" s="39"/>
      <c r="F22" s="29"/>
      <c r="G22" s="26"/>
      <c r="H22" s="37"/>
      <c r="I22" s="26"/>
      <c r="J22" s="37"/>
      <c r="K22" s="39"/>
      <c r="L22" s="37"/>
      <c r="M22" s="39"/>
      <c r="N22" s="37"/>
      <c r="O22" s="30"/>
      <c r="P22" s="31"/>
    </row>
    <row r="23" spans="1:16" ht="27" customHeight="1">
      <c r="A23" s="33">
        <v>19</v>
      </c>
      <c r="B23" s="46" t="s">
        <v>26</v>
      </c>
      <c r="C23" s="39">
        <v>292757</v>
      </c>
      <c r="D23" s="29">
        <v>279342</v>
      </c>
      <c r="E23" s="39">
        <v>298754</v>
      </c>
      <c r="F23" s="29">
        <v>304684</v>
      </c>
      <c r="G23" s="26">
        <v>265761</v>
      </c>
      <c r="H23" s="37">
        <v>264783</v>
      </c>
      <c r="I23" s="26">
        <v>316602</v>
      </c>
      <c r="J23" s="37">
        <v>320120</v>
      </c>
      <c r="K23" s="39">
        <v>316017</v>
      </c>
      <c r="L23" s="37">
        <v>311358</v>
      </c>
      <c r="M23" s="39">
        <v>309356</v>
      </c>
      <c r="N23" s="37">
        <v>234807</v>
      </c>
      <c r="O23" s="30">
        <f t="shared" si="0"/>
        <v>3514341</v>
      </c>
      <c r="P23" s="31">
        <f>O23*0.025*1.18</f>
        <v>103673.0595</v>
      </c>
    </row>
    <row r="24" spans="1:16" ht="27" customHeight="1">
      <c r="A24" s="33">
        <v>20</v>
      </c>
      <c r="B24" s="46" t="s">
        <v>27</v>
      </c>
      <c r="C24" s="39">
        <v>196340</v>
      </c>
      <c r="D24" s="29">
        <v>335373</v>
      </c>
      <c r="E24" s="39">
        <v>337614</v>
      </c>
      <c r="F24" s="29">
        <v>332864</v>
      </c>
      <c r="G24" s="26">
        <v>190546</v>
      </c>
      <c r="H24" s="37">
        <v>257368</v>
      </c>
      <c r="I24" s="26">
        <v>124932</v>
      </c>
      <c r="J24" s="37">
        <v>294772</v>
      </c>
      <c r="K24" s="39">
        <v>302932</v>
      </c>
      <c r="L24" s="37">
        <v>281816</v>
      </c>
      <c r="M24" s="39">
        <v>214141</v>
      </c>
      <c r="N24" s="37">
        <v>269724</v>
      </c>
      <c r="O24" s="30">
        <f t="shared" si="0"/>
        <v>3138422</v>
      </c>
      <c r="P24" s="31">
        <f>O24*0.025*1.18</f>
        <v>92583.449</v>
      </c>
    </row>
    <row r="25" spans="1:16" ht="27" customHeight="1">
      <c r="A25" s="48">
        <v>21</v>
      </c>
      <c r="B25" s="49" t="s">
        <v>46</v>
      </c>
      <c r="C25" s="50">
        <v>119980</v>
      </c>
      <c r="D25" s="51">
        <v>129840</v>
      </c>
      <c r="E25" s="50">
        <v>130942</v>
      </c>
      <c r="F25" s="51">
        <v>115140</v>
      </c>
      <c r="G25" s="52">
        <v>122803</v>
      </c>
      <c r="H25" s="53">
        <v>123173</v>
      </c>
      <c r="I25" s="52">
        <v>136954</v>
      </c>
      <c r="J25" s="53">
        <v>129011</v>
      </c>
      <c r="K25" s="50">
        <v>110859</v>
      </c>
      <c r="L25" s="53">
        <v>109872</v>
      </c>
      <c r="M25" s="50">
        <v>106899</v>
      </c>
      <c r="N25" s="53">
        <v>121835</v>
      </c>
      <c r="O25" s="54">
        <f t="shared" si="0"/>
        <v>1457308</v>
      </c>
      <c r="P25" s="31"/>
    </row>
    <row r="26" spans="1:16" ht="15" customHeight="1" thickBot="1">
      <c r="A26" s="48">
        <v>22</v>
      </c>
      <c r="B26" s="49" t="s">
        <v>28</v>
      </c>
      <c r="C26" s="50">
        <v>4271119</v>
      </c>
      <c r="D26" s="51">
        <v>5136324</v>
      </c>
      <c r="E26" s="50">
        <v>5135005</v>
      </c>
      <c r="F26" s="51">
        <v>5467039</v>
      </c>
      <c r="G26" s="52">
        <v>5020476</v>
      </c>
      <c r="H26" s="53">
        <v>5148620</v>
      </c>
      <c r="I26" s="52">
        <v>4993404</v>
      </c>
      <c r="J26" s="53">
        <v>5223809</v>
      </c>
      <c r="K26" s="50">
        <v>5339898</v>
      </c>
      <c r="L26" s="53">
        <v>4411256</v>
      </c>
      <c r="M26" s="50">
        <v>3444586</v>
      </c>
      <c r="N26" s="53">
        <v>3471684</v>
      </c>
      <c r="O26" s="54">
        <f t="shared" si="0"/>
        <v>57063220</v>
      </c>
      <c r="P26" s="31">
        <f>O26*0.025*1.18</f>
        <v>1683364.99</v>
      </c>
    </row>
    <row r="27" spans="1:105" ht="16.5" customHeight="1" hidden="1" thickBot="1">
      <c r="A27" s="10"/>
      <c r="B27" s="55"/>
      <c r="C27" s="56">
        <f aca="true" t="shared" si="2" ref="C27:AH27">C28-C26-C24-C23-C22</f>
        <v>740653</v>
      </c>
      <c r="D27" s="56">
        <f t="shared" si="2"/>
        <v>1175921</v>
      </c>
      <c r="E27" s="56">
        <f t="shared" si="2"/>
        <v>1212756</v>
      </c>
      <c r="F27" s="56">
        <f t="shared" si="2"/>
        <v>1161104</v>
      </c>
      <c r="G27" s="56">
        <f t="shared" si="2"/>
        <v>1110417</v>
      </c>
      <c r="H27" s="56">
        <f t="shared" si="2"/>
        <v>1166777</v>
      </c>
      <c r="I27" s="56">
        <f t="shared" si="2"/>
        <v>1256420</v>
      </c>
      <c r="J27" s="56">
        <f t="shared" si="2"/>
        <v>800791</v>
      </c>
      <c r="K27" s="56">
        <f t="shared" si="2"/>
        <v>1121350</v>
      </c>
      <c r="L27" s="56">
        <f t="shared" si="2"/>
        <v>1140177</v>
      </c>
      <c r="M27" s="56">
        <f t="shared" si="2"/>
        <v>838720</v>
      </c>
      <c r="N27" s="56">
        <f t="shared" si="2"/>
        <v>870421</v>
      </c>
      <c r="O27" s="56">
        <f t="shared" si="2"/>
        <v>14052815</v>
      </c>
      <c r="P27" s="56">
        <f t="shared" si="2"/>
        <v>740927.1330000001</v>
      </c>
      <c r="Q27" s="56">
        <f t="shared" si="2"/>
        <v>0</v>
      </c>
      <c r="R27" s="56">
        <f t="shared" si="2"/>
        <v>0</v>
      </c>
      <c r="S27" s="56">
        <f t="shared" si="2"/>
        <v>0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6">
        <f t="shared" si="2"/>
        <v>0</v>
      </c>
      <c r="X27" s="56">
        <f t="shared" si="2"/>
        <v>0</v>
      </c>
      <c r="Y27" s="56">
        <f t="shared" si="2"/>
        <v>0</v>
      </c>
      <c r="Z27" s="56">
        <f t="shared" si="2"/>
        <v>0</v>
      </c>
      <c r="AA27" s="56">
        <f t="shared" si="2"/>
        <v>0</v>
      </c>
      <c r="AB27" s="56">
        <f t="shared" si="2"/>
        <v>0</v>
      </c>
      <c r="AC27" s="56">
        <f t="shared" si="2"/>
        <v>0</v>
      </c>
      <c r="AD27" s="56">
        <f t="shared" si="2"/>
        <v>0</v>
      </c>
      <c r="AE27" s="56">
        <f t="shared" si="2"/>
        <v>0</v>
      </c>
      <c r="AF27" s="56">
        <f t="shared" si="2"/>
        <v>0</v>
      </c>
      <c r="AG27" s="56">
        <f t="shared" si="2"/>
        <v>0</v>
      </c>
      <c r="AH27" s="56">
        <f t="shared" si="2"/>
        <v>0</v>
      </c>
      <c r="AI27" s="56">
        <f aca="true" t="shared" si="3" ref="AI27:BN27">AI28-AI26-AI24-AI23-AI22</f>
        <v>0</v>
      </c>
      <c r="AJ27" s="56">
        <f t="shared" si="3"/>
        <v>0</v>
      </c>
      <c r="AK27" s="56">
        <f t="shared" si="3"/>
        <v>0</v>
      </c>
      <c r="AL27" s="56">
        <f t="shared" si="3"/>
        <v>0</v>
      </c>
      <c r="AM27" s="56">
        <f t="shared" si="3"/>
        <v>0</v>
      </c>
      <c r="AN27" s="56">
        <f t="shared" si="3"/>
        <v>0</v>
      </c>
      <c r="AO27" s="56">
        <f t="shared" si="3"/>
        <v>0</v>
      </c>
      <c r="AP27" s="56">
        <f t="shared" si="3"/>
        <v>0</v>
      </c>
      <c r="AQ27" s="56">
        <f t="shared" si="3"/>
        <v>0</v>
      </c>
      <c r="AR27" s="56">
        <f t="shared" si="3"/>
        <v>0</v>
      </c>
      <c r="AS27" s="56">
        <f t="shared" si="3"/>
        <v>0</v>
      </c>
      <c r="AT27" s="56">
        <f t="shared" si="3"/>
        <v>0</v>
      </c>
      <c r="AU27" s="56">
        <f t="shared" si="3"/>
        <v>0</v>
      </c>
      <c r="AV27" s="56">
        <f t="shared" si="3"/>
        <v>0</v>
      </c>
      <c r="AW27" s="56">
        <f t="shared" si="3"/>
        <v>0</v>
      </c>
      <c r="AX27" s="56">
        <f t="shared" si="3"/>
        <v>0</v>
      </c>
      <c r="AY27" s="56">
        <f t="shared" si="3"/>
        <v>0</v>
      </c>
      <c r="AZ27" s="56">
        <f t="shared" si="3"/>
        <v>0</v>
      </c>
      <c r="BA27" s="56">
        <f t="shared" si="3"/>
        <v>0</v>
      </c>
      <c r="BB27" s="56">
        <f t="shared" si="3"/>
        <v>0</v>
      </c>
      <c r="BC27" s="56">
        <f t="shared" si="3"/>
        <v>0</v>
      </c>
      <c r="BD27" s="56">
        <f t="shared" si="3"/>
        <v>0</v>
      </c>
      <c r="BE27" s="56">
        <f t="shared" si="3"/>
        <v>0</v>
      </c>
      <c r="BF27" s="56">
        <f t="shared" si="3"/>
        <v>0</v>
      </c>
      <c r="BG27" s="56">
        <f t="shared" si="3"/>
        <v>0</v>
      </c>
      <c r="BH27" s="56">
        <f t="shared" si="3"/>
        <v>0</v>
      </c>
      <c r="BI27" s="56">
        <f t="shared" si="3"/>
        <v>0</v>
      </c>
      <c r="BJ27" s="56">
        <f t="shared" si="3"/>
        <v>0</v>
      </c>
      <c r="BK27" s="56">
        <f t="shared" si="3"/>
        <v>0</v>
      </c>
      <c r="BL27" s="56">
        <f t="shared" si="3"/>
        <v>0</v>
      </c>
      <c r="BM27" s="56">
        <f t="shared" si="3"/>
        <v>0</v>
      </c>
      <c r="BN27" s="56">
        <f t="shared" si="3"/>
        <v>0</v>
      </c>
      <c r="BO27" s="56">
        <f aca="true" t="shared" si="4" ref="BO27:CT27">BO28-BO26-BO24-BO23-BO22</f>
        <v>0</v>
      </c>
      <c r="BP27" s="56">
        <f t="shared" si="4"/>
        <v>0</v>
      </c>
      <c r="BQ27" s="56">
        <f t="shared" si="4"/>
        <v>0</v>
      </c>
      <c r="BR27" s="56">
        <f t="shared" si="4"/>
        <v>0</v>
      </c>
      <c r="BS27" s="56">
        <f t="shared" si="4"/>
        <v>0</v>
      </c>
      <c r="BT27" s="56">
        <f t="shared" si="4"/>
        <v>0</v>
      </c>
      <c r="BU27" s="56">
        <f t="shared" si="4"/>
        <v>0</v>
      </c>
      <c r="BV27" s="56">
        <f t="shared" si="4"/>
        <v>0</v>
      </c>
      <c r="BW27" s="56">
        <f t="shared" si="4"/>
        <v>0</v>
      </c>
      <c r="BX27" s="56">
        <f t="shared" si="4"/>
        <v>0</v>
      </c>
      <c r="BY27" s="56">
        <f t="shared" si="4"/>
        <v>0</v>
      </c>
      <c r="BZ27" s="56">
        <f t="shared" si="4"/>
        <v>0</v>
      </c>
      <c r="CA27" s="56">
        <f t="shared" si="4"/>
        <v>0</v>
      </c>
      <c r="CB27" s="56">
        <f t="shared" si="4"/>
        <v>0</v>
      </c>
      <c r="CC27" s="56">
        <f t="shared" si="4"/>
        <v>0</v>
      </c>
      <c r="CD27" s="56">
        <f t="shared" si="4"/>
        <v>0</v>
      </c>
      <c r="CE27" s="56">
        <f t="shared" si="4"/>
        <v>0</v>
      </c>
      <c r="CF27" s="56">
        <f t="shared" si="4"/>
        <v>0</v>
      </c>
      <c r="CG27" s="56">
        <f t="shared" si="4"/>
        <v>0</v>
      </c>
      <c r="CH27" s="56">
        <f t="shared" si="4"/>
        <v>0</v>
      </c>
      <c r="CI27" s="56">
        <f t="shared" si="4"/>
        <v>0</v>
      </c>
      <c r="CJ27" s="56">
        <f t="shared" si="4"/>
        <v>0</v>
      </c>
      <c r="CK27" s="56">
        <f t="shared" si="4"/>
        <v>0</v>
      </c>
      <c r="CL27" s="56">
        <f t="shared" si="4"/>
        <v>0</v>
      </c>
      <c r="CM27" s="56">
        <f t="shared" si="4"/>
        <v>0</v>
      </c>
      <c r="CN27" s="56">
        <f t="shared" si="4"/>
        <v>0</v>
      </c>
      <c r="CO27" s="56">
        <f t="shared" si="4"/>
        <v>0</v>
      </c>
      <c r="CP27" s="56">
        <f t="shared" si="4"/>
        <v>0</v>
      </c>
      <c r="CQ27" s="56">
        <f t="shared" si="4"/>
        <v>0</v>
      </c>
      <c r="CR27" s="56">
        <f t="shared" si="4"/>
        <v>0</v>
      </c>
      <c r="CS27" s="56">
        <f t="shared" si="4"/>
        <v>0</v>
      </c>
      <c r="CT27" s="56">
        <f t="shared" si="4"/>
        <v>0</v>
      </c>
      <c r="CU27" s="56">
        <f aca="true" t="shared" si="5" ref="CU27:DA27">CU28-CU26-CU24-CU23-CU22</f>
        <v>0</v>
      </c>
      <c r="CV27" s="56">
        <f t="shared" si="5"/>
        <v>0</v>
      </c>
      <c r="CW27" s="56">
        <f t="shared" si="5"/>
        <v>0</v>
      </c>
      <c r="CX27" s="56">
        <f t="shared" si="5"/>
        <v>0</v>
      </c>
      <c r="CY27" s="56">
        <f t="shared" si="5"/>
        <v>0</v>
      </c>
      <c r="CZ27" s="56">
        <f t="shared" si="5"/>
        <v>0</v>
      </c>
      <c r="DA27" s="56">
        <f t="shared" si="5"/>
        <v>0</v>
      </c>
    </row>
    <row r="28" spans="1:241" ht="16.5" customHeight="1" thickBot="1">
      <c r="A28" s="57"/>
      <c r="B28" s="5" t="s">
        <v>5</v>
      </c>
      <c r="C28" s="6">
        <f aca="true" t="shared" si="6" ref="C28:N28">C5+C6+C7+C8+C9+C10+C11+C12+C13+C14+C15+C16+C17+C18+C19+C20+C21+C22+C23+C24+C26</f>
        <v>5500869</v>
      </c>
      <c r="D28" s="6">
        <f t="shared" si="6"/>
        <v>6926960</v>
      </c>
      <c r="E28" s="6">
        <f t="shared" si="6"/>
        <v>6984129</v>
      </c>
      <c r="F28" s="6">
        <f t="shared" si="6"/>
        <v>7265691</v>
      </c>
      <c r="G28" s="6">
        <f t="shared" si="6"/>
        <v>6587200</v>
      </c>
      <c r="H28" s="7">
        <f t="shared" si="6"/>
        <v>6837548</v>
      </c>
      <c r="I28" s="6">
        <f t="shared" si="6"/>
        <v>6691358</v>
      </c>
      <c r="J28" s="6">
        <f t="shared" si="6"/>
        <v>6639492</v>
      </c>
      <c r="K28" s="6">
        <f t="shared" si="6"/>
        <v>7080197</v>
      </c>
      <c r="L28" s="6">
        <f t="shared" si="6"/>
        <v>6144607</v>
      </c>
      <c r="M28" s="6">
        <f t="shared" si="6"/>
        <v>4806803</v>
      </c>
      <c r="N28" s="6">
        <f t="shared" si="6"/>
        <v>4846636</v>
      </c>
      <c r="O28" s="8">
        <f>O5+O6+O7+O8+O9+O10+O11+O12+O13+O14+O15+O16+O17+O18+O19+O20+O21+O23+O24+O26+O22+O25</f>
        <v>77768798</v>
      </c>
      <c r="P28" s="2">
        <f>P5+P6+P7+P8+P9+P10+P11+P12+P13+P14+P15+P16+P17+P18+P19+P20+P21+P22+P23+P24+P26</f>
        <v>2620548.6315</v>
      </c>
      <c r="Q28" s="58"/>
      <c r="R28" s="58"/>
      <c r="S28" s="58"/>
      <c r="T28" s="58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</row>
    <row r="29" spans="1:17" ht="34.5" customHeight="1">
      <c r="A29" s="60">
        <v>23</v>
      </c>
      <c r="B29" s="61" t="s">
        <v>23</v>
      </c>
      <c r="C29" s="62"/>
      <c r="D29" s="63"/>
      <c r="E29" s="64"/>
      <c r="F29" s="65"/>
      <c r="G29" s="66"/>
      <c r="H29" s="65"/>
      <c r="I29" s="64"/>
      <c r="J29" s="65"/>
      <c r="K29" s="64"/>
      <c r="L29" s="65"/>
      <c r="M29" s="62"/>
      <c r="N29" s="63"/>
      <c r="O29" s="67">
        <f>N29+M29+L29+K29+J29+I29+H29+G29+F29+E29+D29+C29</f>
        <v>0</v>
      </c>
      <c r="P29" s="31">
        <f t="shared" si="1"/>
        <v>0</v>
      </c>
      <c r="Q29" s="68"/>
    </row>
    <row r="30" spans="1:16" ht="27" customHeight="1">
      <c r="A30" s="46">
        <v>24</v>
      </c>
      <c r="B30" s="25" t="s">
        <v>2</v>
      </c>
      <c r="C30" s="44"/>
      <c r="D30" s="69"/>
      <c r="E30" s="29"/>
      <c r="F30" s="26"/>
      <c r="G30" s="70"/>
      <c r="H30" s="39"/>
      <c r="I30" s="37"/>
      <c r="J30" s="39"/>
      <c r="K30" s="37"/>
      <c r="L30" s="39"/>
      <c r="M30" s="44"/>
      <c r="N30" s="71"/>
      <c r="O30" s="26">
        <f>N30+M30+L30+K30+J30+I30+H30+G30+F30+E30+D30+C30</f>
        <v>0</v>
      </c>
      <c r="P30" s="31">
        <f t="shared" si="1"/>
        <v>0</v>
      </c>
    </row>
    <row r="31" spans="1:16" ht="27" customHeight="1">
      <c r="A31" s="46">
        <v>25</v>
      </c>
      <c r="B31" s="72" t="s">
        <v>29</v>
      </c>
      <c r="C31" s="73">
        <v>9427</v>
      </c>
      <c r="D31" s="74">
        <v>7573</v>
      </c>
      <c r="E31" s="51">
        <v>5438</v>
      </c>
      <c r="F31" s="52">
        <v>3034</v>
      </c>
      <c r="G31" s="75">
        <v>1593</v>
      </c>
      <c r="H31" s="50">
        <v>979</v>
      </c>
      <c r="I31" s="53">
        <v>623</v>
      </c>
      <c r="J31" s="50">
        <v>847</v>
      </c>
      <c r="K31" s="53">
        <v>2265</v>
      </c>
      <c r="L31" s="50">
        <v>2404</v>
      </c>
      <c r="M31" s="73">
        <v>4359</v>
      </c>
      <c r="N31" s="76">
        <v>6474</v>
      </c>
      <c r="O31" s="26">
        <f>N31+M31+L31+K31+J31+I31+H31+G31+F31+E31+D31+C31</f>
        <v>45016</v>
      </c>
      <c r="P31" s="31">
        <f t="shared" si="1"/>
        <v>8233.426399999998</v>
      </c>
    </row>
    <row r="32" spans="1:16" ht="27" customHeight="1" thickBot="1">
      <c r="A32" s="49">
        <v>26</v>
      </c>
      <c r="B32" s="77" t="s">
        <v>49</v>
      </c>
      <c r="C32" s="53">
        <v>8190</v>
      </c>
      <c r="D32" s="52">
        <v>6780</v>
      </c>
      <c r="E32" s="51">
        <v>6390</v>
      </c>
      <c r="F32" s="52">
        <v>5130</v>
      </c>
      <c r="G32" s="75">
        <v>5580</v>
      </c>
      <c r="H32" s="50">
        <v>5490</v>
      </c>
      <c r="I32" s="53">
        <v>4560</v>
      </c>
      <c r="J32" s="50">
        <v>3930</v>
      </c>
      <c r="K32" s="53">
        <v>6990</v>
      </c>
      <c r="L32" s="50">
        <v>5400</v>
      </c>
      <c r="M32" s="53">
        <v>6930</v>
      </c>
      <c r="N32" s="76">
        <v>8100</v>
      </c>
      <c r="O32" s="52">
        <f>N32+M32+L32+K32+J32+I32+H32+G32+F32+E32+D32+C32</f>
        <v>73470</v>
      </c>
      <c r="P32" s="31">
        <f t="shared" si="1"/>
        <v>13437.663</v>
      </c>
    </row>
    <row r="33" spans="1:16" ht="20.25" customHeight="1" thickBot="1">
      <c r="A33" s="78"/>
      <c r="B33" s="9"/>
      <c r="C33" s="6">
        <f>C29+C30+C31+C32</f>
        <v>17617</v>
      </c>
      <c r="D33" s="6">
        <f aca="true" t="shared" si="7" ref="D33:P33">D29+D30+D31+D32</f>
        <v>14353</v>
      </c>
      <c r="E33" s="6">
        <f t="shared" si="7"/>
        <v>11828</v>
      </c>
      <c r="F33" s="6">
        <f t="shared" si="7"/>
        <v>8164</v>
      </c>
      <c r="G33" s="6">
        <f t="shared" si="7"/>
        <v>7173</v>
      </c>
      <c r="H33" s="6">
        <f t="shared" si="7"/>
        <v>6469</v>
      </c>
      <c r="I33" s="6">
        <f t="shared" si="7"/>
        <v>5183</v>
      </c>
      <c r="J33" s="6">
        <f t="shared" si="7"/>
        <v>4777</v>
      </c>
      <c r="K33" s="6">
        <f t="shared" si="7"/>
        <v>9255</v>
      </c>
      <c r="L33" s="6">
        <f t="shared" si="7"/>
        <v>7804</v>
      </c>
      <c r="M33" s="6">
        <f t="shared" si="7"/>
        <v>11289</v>
      </c>
      <c r="N33" s="6">
        <f t="shared" si="7"/>
        <v>14574</v>
      </c>
      <c r="O33" s="79">
        <f>N33+M33+L33+K33+J33+I33+H33+G33+F33+E33+D33+C33</f>
        <v>118486</v>
      </c>
      <c r="P33" s="1">
        <f t="shared" si="7"/>
        <v>21671.089399999997</v>
      </c>
    </row>
    <row r="34" spans="1:16" ht="24" customHeight="1" thickBot="1">
      <c r="A34" s="80"/>
      <c r="B34" s="819" t="s">
        <v>25</v>
      </c>
      <c r="C34" s="820"/>
      <c r="D34" s="820"/>
      <c r="E34" s="820"/>
      <c r="F34" s="820"/>
      <c r="G34" s="820"/>
      <c r="H34" s="820"/>
      <c r="I34" s="820"/>
      <c r="J34" s="821"/>
      <c r="K34" s="820"/>
      <c r="L34" s="820"/>
      <c r="M34" s="820"/>
      <c r="N34" s="820"/>
      <c r="O34" s="821"/>
      <c r="P34" s="31">
        <f t="shared" si="1"/>
        <v>0</v>
      </c>
    </row>
    <row r="35" spans="1:16" ht="27" customHeight="1">
      <c r="A35" s="81">
        <v>27</v>
      </c>
      <c r="B35" s="82" t="s">
        <v>39</v>
      </c>
      <c r="C35" s="67"/>
      <c r="D35" s="83"/>
      <c r="E35" s="84"/>
      <c r="F35" s="84"/>
      <c r="G35" s="84"/>
      <c r="H35" s="84"/>
      <c r="I35" s="83"/>
      <c r="J35" s="65"/>
      <c r="K35" s="85"/>
      <c r="L35" s="83"/>
      <c r="M35" s="83"/>
      <c r="N35" s="83"/>
      <c r="O35" s="67">
        <f aca="true" t="shared" si="8" ref="O35:O52">N35+M35+L35+K35+J35+I35+H35+G35+F35+E35+D35+C35</f>
        <v>0</v>
      </c>
      <c r="P35" s="31"/>
    </row>
    <row r="36" spans="1:16" ht="27" customHeight="1">
      <c r="A36" s="33">
        <v>28</v>
      </c>
      <c r="B36" s="72" t="s">
        <v>40</v>
      </c>
      <c r="C36" s="26"/>
      <c r="D36" s="50"/>
      <c r="E36" s="52"/>
      <c r="F36" s="52"/>
      <c r="G36" s="52">
        <v>3689</v>
      </c>
      <c r="H36" s="52"/>
      <c r="I36" s="50"/>
      <c r="J36" s="39"/>
      <c r="K36" s="53"/>
      <c r="L36" s="50"/>
      <c r="M36" s="50"/>
      <c r="N36" s="50"/>
      <c r="O36" s="26">
        <f t="shared" si="8"/>
        <v>3689</v>
      </c>
      <c r="P36" s="31"/>
    </row>
    <row r="37" spans="1:16" ht="27" customHeight="1">
      <c r="A37" s="33">
        <v>29</v>
      </c>
      <c r="B37" s="25" t="s">
        <v>45</v>
      </c>
      <c r="C37" s="26"/>
      <c r="D37" s="50"/>
      <c r="E37" s="52"/>
      <c r="F37" s="52"/>
      <c r="G37" s="52">
        <v>720</v>
      </c>
      <c r="H37" s="52"/>
      <c r="I37" s="50"/>
      <c r="J37" s="39"/>
      <c r="K37" s="53"/>
      <c r="L37" s="50"/>
      <c r="M37" s="50"/>
      <c r="N37" s="50"/>
      <c r="O37" s="26">
        <f t="shared" si="8"/>
        <v>720</v>
      </c>
      <c r="P37" s="31">
        <f t="shared" si="1"/>
        <v>131.688</v>
      </c>
    </row>
    <row r="38" spans="1:16" ht="27" customHeight="1">
      <c r="A38" s="33">
        <v>30</v>
      </c>
      <c r="B38" s="72" t="s">
        <v>41</v>
      </c>
      <c r="C38" s="26">
        <v>1266</v>
      </c>
      <c r="D38" s="50">
        <v>1184</v>
      </c>
      <c r="E38" s="52">
        <v>5068</v>
      </c>
      <c r="F38" s="52">
        <v>3960</v>
      </c>
      <c r="G38" s="52">
        <v>4189</v>
      </c>
      <c r="H38" s="52">
        <v>7181</v>
      </c>
      <c r="I38" s="50">
        <v>3672</v>
      </c>
      <c r="J38" s="39">
        <v>4624</v>
      </c>
      <c r="K38" s="53">
        <v>5355</v>
      </c>
      <c r="L38" s="50">
        <v>4281</v>
      </c>
      <c r="M38" s="50">
        <v>3913</v>
      </c>
      <c r="N38" s="50">
        <v>4071</v>
      </c>
      <c r="O38" s="26">
        <f t="shared" si="8"/>
        <v>48764</v>
      </c>
      <c r="P38" s="31">
        <f t="shared" si="1"/>
        <v>8918.935599999999</v>
      </c>
    </row>
    <row r="39" spans="1:16" ht="27" customHeight="1">
      <c r="A39" s="33">
        <v>31</v>
      </c>
      <c r="B39" s="25" t="s">
        <v>44</v>
      </c>
      <c r="C39" s="26"/>
      <c r="D39" s="50"/>
      <c r="E39" s="50"/>
      <c r="F39" s="52"/>
      <c r="G39" s="52">
        <v>680</v>
      </c>
      <c r="H39" s="52"/>
      <c r="I39" s="50"/>
      <c r="J39" s="39"/>
      <c r="K39" s="53"/>
      <c r="L39" s="50"/>
      <c r="M39" s="50"/>
      <c r="N39" s="50"/>
      <c r="O39" s="26">
        <f t="shared" si="8"/>
        <v>680</v>
      </c>
      <c r="P39" s="31"/>
    </row>
    <row r="40" spans="1:16" ht="33" customHeight="1">
      <c r="A40" s="33">
        <v>32</v>
      </c>
      <c r="B40" s="72" t="s">
        <v>56</v>
      </c>
      <c r="C40" s="26">
        <v>239</v>
      </c>
      <c r="D40" s="50">
        <v>209</v>
      </c>
      <c r="E40" s="52">
        <v>183</v>
      </c>
      <c r="F40" s="52">
        <v>88</v>
      </c>
      <c r="G40" s="52">
        <v>47</v>
      </c>
      <c r="H40" s="52">
        <v>48</v>
      </c>
      <c r="I40" s="50">
        <v>33</v>
      </c>
      <c r="J40" s="39">
        <v>45</v>
      </c>
      <c r="K40" s="53">
        <v>75</v>
      </c>
      <c r="L40" s="50">
        <v>72</v>
      </c>
      <c r="M40" s="50">
        <v>110</v>
      </c>
      <c r="N40" s="50">
        <v>138</v>
      </c>
      <c r="O40" s="26">
        <f t="shared" si="8"/>
        <v>1287</v>
      </c>
      <c r="P40" s="31"/>
    </row>
    <row r="41" spans="1:16" ht="26.25" customHeight="1">
      <c r="A41" s="33">
        <v>33</v>
      </c>
      <c r="B41" s="25" t="s">
        <v>43</v>
      </c>
      <c r="C41" s="26"/>
      <c r="D41" s="39"/>
      <c r="E41" s="26"/>
      <c r="F41" s="26"/>
      <c r="G41" s="26">
        <v>5333</v>
      </c>
      <c r="H41" s="26"/>
      <c r="I41" s="39"/>
      <c r="J41" s="39"/>
      <c r="K41" s="37"/>
      <c r="L41" s="39"/>
      <c r="M41" s="39"/>
      <c r="N41" s="39"/>
      <c r="O41" s="26">
        <f t="shared" si="8"/>
        <v>5333</v>
      </c>
      <c r="P41" s="31">
        <f t="shared" si="1"/>
        <v>975.4056999999999</v>
      </c>
    </row>
    <row r="42" spans="1:16" ht="27" customHeight="1">
      <c r="A42" s="48">
        <v>33</v>
      </c>
      <c r="B42" s="25" t="s">
        <v>33</v>
      </c>
      <c r="C42" s="52"/>
      <c r="D42" s="50"/>
      <c r="E42" s="52"/>
      <c r="F42" s="52"/>
      <c r="G42" s="52"/>
      <c r="H42" s="52"/>
      <c r="I42" s="50"/>
      <c r="J42" s="39"/>
      <c r="K42" s="53"/>
      <c r="L42" s="50"/>
      <c r="M42" s="50"/>
      <c r="N42" s="50"/>
      <c r="O42" s="26">
        <f t="shared" si="8"/>
        <v>0</v>
      </c>
      <c r="P42" s="31">
        <f t="shared" si="1"/>
        <v>0</v>
      </c>
    </row>
    <row r="43" spans="1:16" ht="27" customHeight="1">
      <c r="A43" s="48">
        <v>33</v>
      </c>
      <c r="B43" s="25" t="s">
        <v>42</v>
      </c>
      <c r="C43" s="52"/>
      <c r="D43" s="50"/>
      <c r="E43" s="52"/>
      <c r="F43" s="52"/>
      <c r="G43" s="52"/>
      <c r="H43" s="52"/>
      <c r="I43" s="50"/>
      <c r="J43" s="39"/>
      <c r="K43" s="53"/>
      <c r="L43" s="50"/>
      <c r="M43" s="50"/>
      <c r="N43" s="50"/>
      <c r="O43" s="26">
        <f t="shared" si="8"/>
        <v>0</v>
      </c>
      <c r="P43" s="31">
        <f t="shared" si="1"/>
        <v>0</v>
      </c>
    </row>
    <row r="44" spans="1:16" ht="27" customHeight="1">
      <c r="A44" s="48">
        <v>34</v>
      </c>
      <c r="B44" s="72" t="s">
        <v>53</v>
      </c>
      <c r="C44" s="52">
        <v>1767</v>
      </c>
      <c r="D44" s="50">
        <v>1625</v>
      </c>
      <c r="E44" s="52">
        <v>1535</v>
      </c>
      <c r="F44" s="52">
        <v>1648</v>
      </c>
      <c r="G44" s="52">
        <v>1215</v>
      </c>
      <c r="H44" s="52">
        <v>1357</v>
      </c>
      <c r="I44" s="50">
        <v>989</v>
      </c>
      <c r="J44" s="50">
        <v>1215</v>
      </c>
      <c r="K44" s="53">
        <v>1582</v>
      </c>
      <c r="L44" s="50">
        <v>1787</v>
      </c>
      <c r="M44" s="50">
        <v>1499</v>
      </c>
      <c r="N44" s="50">
        <v>2109</v>
      </c>
      <c r="O44" s="26">
        <f t="shared" si="8"/>
        <v>18328</v>
      </c>
      <c r="P44" s="31"/>
    </row>
    <row r="45" spans="1:16" ht="27" customHeight="1">
      <c r="A45" s="48">
        <v>35</v>
      </c>
      <c r="B45" s="72" t="s">
        <v>52</v>
      </c>
      <c r="C45" s="52"/>
      <c r="D45" s="50"/>
      <c r="E45" s="52"/>
      <c r="F45" s="52"/>
      <c r="G45" s="52"/>
      <c r="H45" s="52"/>
      <c r="I45" s="50">
        <v>4116</v>
      </c>
      <c r="J45" s="50">
        <v>3656</v>
      </c>
      <c r="K45" s="53">
        <v>3634</v>
      </c>
      <c r="L45" s="50">
        <v>3262</v>
      </c>
      <c r="M45" s="50">
        <v>4520</v>
      </c>
      <c r="N45" s="50">
        <v>4000</v>
      </c>
      <c r="O45" s="26">
        <f t="shared" si="8"/>
        <v>23188</v>
      </c>
      <c r="P45" s="31"/>
    </row>
    <row r="46" spans="1:16" ht="27" customHeight="1">
      <c r="A46" s="48">
        <v>36</v>
      </c>
      <c r="B46" s="72" t="s">
        <v>55</v>
      </c>
      <c r="C46" s="52"/>
      <c r="D46" s="50">
        <v>7200</v>
      </c>
      <c r="E46" s="52">
        <v>3720</v>
      </c>
      <c r="F46" s="52">
        <v>3000</v>
      </c>
      <c r="G46" s="52">
        <v>3400</v>
      </c>
      <c r="H46" s="52">
        <v>3440</v>
      </c>
      <c r="I46" s="50"/>
      <c r="J46" s="50"/>
      <c r="K46" s="53"/>
      <c r="L46" s="50"/>
      <c r="M46" s="50"/>
      <c r="N46" s="50"/>
      <c r="O46" s="26">
        <f t="shared" si="8"/>
        <v>20760</v>
      </c>
      <c r="P46" s="31"/>
    </row>
    <row r="47" spans="1:16" ht="27" customHeight="1">
      <c r="A47" s="48">
        <v>37</v>
      </c>
      <c r="B47" s="72" t="s">
        <v>54</v>
      </c>
      <c r="C47" s="52"/>
      <c r="D47" s="50"/>
      <c r="E47" s="52"/>
      <c r="F47" s="52"/>
      <c r="G47" s="52"/>
      <c r="H47" s="52"/>
      <c r="I47" s="50"/>
      <c r="J47" s="50"/>
      <c r="K47" s="53">
        <v>991</v>
      </c>
      <c r="L47" s="50">
        <v>127</v>
      </c>
      <c r="M47" s="50">
        <v>60</v>
      </c>
      <c r="N47" s="50">
        <v>47</v>
      </c>
      <c r="O47" s="26">
        <f t="shared" si="8"/>
        <v>1225</v>
      </c>
      <c r="P47" s="31"/>
    </row>
    <row r="48" spans="1:16" ht="27" customHeight="1">
      <c r="A48" s="48">
        <v>38</v>
      </c>
      <c r="B48" s="72" t="s">
        <v>57</v>
      </c>
      <c r="C48" s="52"/>
      <c r="D48" s="50"/>
      <c r="E48" s="52"/>
      <c r="F48" s="52"/>
      <c r="G48" s="52"/>
      <c r="H48" s="52"/>
      <c r="I48" s="50"/>
      <c r="J48" s="50"/>
      <c r="K48" s="53"/>
      <c r="L48" s="50"/>
      <c r="M48" s="50"/>
      <c r="N48" s="50">
        <v>2300</v>
      </c>
      <c r="O48" s="26">
        <f t="shared" si="8"/>
        <v>2300</v>
      </c>
      <c r="P48" s="31"/>
    </row>
    <row r="49" spans="1:16" ht="27" customHeight="1">
      <c r="A49" s="48">
        <v>39</v>
      </c>
      <c r="B49" s="72" t="s">
        <v>58</v>
      </c>
      <c r="C49" s="52"/>
      <c r="D49" s="50"/>
      <c r="E49" s="52"/>
      <c r="F49" s="52"/>
      <c r="G49" s="52"/>
      <c r="H49" s="52"/>
      <c r="I49" s="50"/>
      <c r="J49" s="50"/>
      <c r="K49" s="53"/>
      <c r="L49" s="50">
        <v>1260</v>
      </c>
      <c r="M49" s="50">
        <v>306</v>
      </c>
      <c r="N49" s="50">
        <v>187</v>
      </c>
      <c r="O49" s="26">
        <f t="shared" si="8"/>
        <v>1753</v>
      </c>
      <c r="P49" s="31"/>
    </row>
    <row r="50" spans="1:16" ht="27" customHeight="1">
      <c r="A50" s="48">
        <v>40</v>
      </c>
      <c r="B50" s="72" t="s">
        <v>59</v>
      </c>
      <c r="C50" s="52"/>
      <c r="D50" s="50"/>
      <c r="E50" s="52"/>
      <c r="F50" s="52"/>
      <c r="G50" s="52"/>
      <c r="H50" s="52"/>
      <c r="I50" s="50"/>
      <c r="J50" s="50"/>
      <c r="K50" s="53"/>
      <c r="L50" s="50">
        <v>1134</v>
      </c>
      <c r="M50" s="50">
        <v>343</v>
      </c>
      <c r="N50" s="50">
        <v>328</v>
      </c>
      <c r="O50" s="26">
        <f t="shared" si="8"/>
        <v>1805</v>
      </c>
      <c r="P50" s="31"/>
    </row>
    <row r="51" spans="1:16" ht="27" customHeight="1">
      <c r="A51" s="48">
        <v>41</v>
      </c>
      <c r="B51" s="72" t="s">
        <v>60</v>
      </c>
      <c r="C51" s="52"/>
      <c r="D51" s="50"/>
      <c r="E51" s="52"/>
      <c r="F51" s="52"/>
      <c r="G51" s="52"/>
      <c r="H51" s="52"/>
      <c r="I51" s="50"/>
      <c r="J51" s="50"/>
      <c r="K51" s="53"/>
      <c r="L51" s="50">
        <v>3902</v>
      </c>
      <c r="M51" s="50">
        <v>869</v>
      </c>
      <c r="N51" s="50">
        <v>1863</v>
      </c>
      <c r="O51" s="26">
        <f t="shared" si="8"/>
        <v>6634</v>
      </c>
      <c r="P51" s="31"/>
    </row>
    <row r="52" spans="1:16" ht="27" customHeight="1">
      <c r="A52" s="48">
        <v>42</v>
      </c>
      <c r="B52" s="72" t="s">
        <v>61</v>
      </c>
      <c r="C52" s="52"/>
      <c r="D52" s="50"/>
      <c r="E52" s="52"/>
      <c r="F52" s="52"/>
      <c r="G52" s="52"/>
      <c r="H52" s="52"/>
      <c r="I52" s="50"/>
      <c r="J52" s="50"/>
      <c r="K52" s="53"/>
      <c r="L52" s="50">
        <v>6230</v>
      </c>
      <c r="M52" s="50">
        <v>1400</v>
      </c>
      <c r="N52" s="50">
        <v>1850</v>
      </c>
      <c r="O52" s="26">
        <f t="shared" si="8"/>
        <v>9480</v>
      </c>
      <c r="P52" s="31"/>
    </row>
    <row r="53" spans="1:16" ht="27" customHeight="1" thickBot="1">
      <c r="A53" s="86">
        <v>43</v>
      </c>
      <c r="B53" s="77" t="s">
        <v>62</v>
      </c>
      <c r="C53" s="52"/>
      <c r="D53" s="50"/>
      <c r="E53" s="52"/>
      <c r="F53" s="52"/>
      <c r="G53" s="52"/>
      <c r="H53" s="52"/>
      <c r="I53" s="50"/>
      <c r="J53" s="50"/>
      <c r="K53" s="53"/>
      <c r="L53" s="50">
        <v>1027</v>
      </c>
      <c r="M53" s="50">
        <v>220</v>
      </c>
      <c r="N53" s="50">
        <v>286</v>
      </c>
      <c r="O53" s="52">
        <f>N53+M53+L53+K53+J53+I53+H53+G53+F53+E53+D53+C53</f>
        <v>1533</v>
      </c>
      <c r="P53" s="87"/>
    </row>
    <row r="54" spans="1:16" ht="22.5" customHeight="1" thickBot="1">
      <c r="A54" s="88"/>
      <c r="B54" s="10" t="s">
        <v>5</v>
      </c>
      <c r="C54" s="6">
        <f>C35+C36+C37+C38+C39+C40+C41+C44+C45+C46+C47+C48+C49+C50+C51+C52+C53</f>
        <v>3272</v>
      </c>
      <c r="D54" s="13">
        <f aca="true" t="shared" si="9" ref="D54:N54">D35+D36+D37+D38+D39+D40+D41+D44+D45+D46+D47+D48+D49+D50+D51+D52+D53</f>
        <v>10218</v>
      </c>
      <c r="E54" s="13">
        <f t="shared" si="9"/>
        <v>10506</v>
      </c>
      <c r="F54" s="13">
        <f t="shared" si="9"/>
        <v>8696</v>
      </c>
      <c r="G54" s="13">
        <f t="shared" si="9"/>
        <v>19273</v>
      </c>
      <c r="H54" s="13">
        <f t="shared" si="9"/>
        <v>12026</v>
      </c>
      <c r="I54" s="13">
        <f t="shared" si="9"/>
        <v>8810</v>
      </c>
      <c r="J54" s="13">
        <f t="shared" si="9"/>
        <v>9540</v>
      </c>
      <c r="K54" s="13">
        <f t="shared" si="9"/>
        <v>11637</v>
      </c>
      <c r="L54" s="13">
        <f t="shared" si="9"/>
        <v>23082</v>
      </c>
      <c r="M54" s="13">
        <f t="shared" si="9"/>
        <v>13240</v>
      </c>
      <c r="N54" s="13">
        <f t="shared" si="9"/>
        <v>17179</v>
      </c>
      <c r="O54" s="13">
        <f>O35+O36+O37+O38+O39+O40+O41+O44+O45+O46+O47+O48+O49+O50+O51+O52+O53</f>
        <v>147479</v>
      </c>
      <c r="P54" s="3"/>
    </row>
    <row r="55" spans="1:20" ht="21.75" customHeight="1" thickBot="1">
      <c r="A55" s="89"/>
      <c r="B55" s="11" t="s">
        <v>50</v>
      </c>
      <c r="C55" s="12">
        <f aca="true" t="shared" si="10" ref="C55:N55">C54+C28+C33</f>
        <v>5521758</v>
      </c>
      <c r="D55" s="12">
        <f t="shared" si="10"/>
        <v>6951531</v>
      </c>
      <c r="E55" s="12">
        <f t="shared" si="10"/>
        <v>7006463</v>
      </c>
      <c r="F55" s="12">
        <f t="shared" si="10"/>
        <v>7282551</v>
      </c>
      <c r="G55" s="15">
        <f t="shared" si="10"/>
        <v>6613646</v>
      </c>
      <c r="H55" s="14">
        <f t="shared" si="10"/>
        <v>6856043</v>
      </c>
      <c r="I55" s="15">
        <f t="shared" si="10"/>
        <v>6705351</v>
      </c>
      <c r="J55" s="12">
        <f t="shared" si="10"/>
        <v>6653809</v>
      </c>
      <c r="K55" s="15">
        <f t="shared" si="10"/>
        <v>7101089</v>
      </c>
      <c r="L55" s="12">
        <f t="shared" si="10"/>
        <v>6175493</v>
      </c>
      <c r="M55" s="15">
        <f t="shared" si="10"/>
        <v>4831332</v>
      </c>
      <c r="N55" s="12">
        <f t="shared" si="10"/>
        <v>4878389</v>
      </c>
      <c r="O55" s="12">
        <f>O54+O33+O28</f>
        <v>78034763</v>
      </c>
      <c r="P55" s="4"/>
      <c r="Q55" s="45"/>
      <c r="R55" s="45"/>
      <c r="S55" s="45"/>
      <c r="T55" s="45"/>
    </row>
    <row r="56" spans="1:35" ht="12.75">
      <c r="A56" s="90"/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93"/>
      <c r="R56" s="93"/>
      <c r="S56" s="93"/>
      <c r="T56" s="93"/>
      <c r="U56" s="94"/>
      <c r="V56" s="94"/>
      <c r="W56" s="94"/>
      <c r="X56" s="94"/>
      <c r="Y56" s="94"/>
      <c r="Z56" s="94"/>
      <c r="AA56" s="94"/>
      <c r="AB56" s="32"/>
      <c r="AC56" s="32"/>
      <c r="AD56" s="32"/>
      <c r="AE56" s="32"/>
      <c r="AF56" s="32"/>
      <c r="AG56" s="32"/>
      <c r="AH56" s="32"/>
      <c r="AI56" s="32"/>
    </row>
    <row r="57" spans="1:35" ht="12.75">
      <c r="A57" s="90"/>
      <c r="B57" s="90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6"/>
      <c r="Q57" s="96"/>
      <c r="R57" s="96"/>
      <c r="S57" s="96"/>
      <c r="T57" s="96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35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1:35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1:35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1:35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1:35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1:35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1:35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1:35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1:35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1:35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1:3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1:35" ht="12.7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1:35" ht="12.75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1:35" ht="12.75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1:35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1:15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</row>
    <row r="75" spans="1:15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</row>
    <row r="77" spans="1:15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</row>
    <row r="79" spans="1:15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1:15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</row>
    <row r="81" spans="1:15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</row>
    <row r="82" spans="1:15" ht="12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</row>
    <row r="83" spans="1:15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</row>
    <row r="84" spans="1:15" ht="12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</row>
    <row r="85" spans="1:15" ht="12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</row>
    <row r="86" spans="1:15" ht="12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</row>
  </sheetData>
  <sheetProtection/>
  <mergeCells count="4">
    <mergeCell ref="B34:O34"/>
    <mergeCell ref="B4:O4"/>
    <mergeCell ref="A2:A3"/>
    <mergeCell ref="B2:B3"/>
  </mergeCells>
  <printOptions/>
  <pageMargins left="0" right="0" top="0" bottom="0" header="0.2755905511811024" footer="0.2362204724409449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81"/>
  <sheetViews>
    <sheetView zoomScale="90" zoomScaleNormal="90" zoomScalePageLayoutView="0" workbookViewId="0" topLeftCell="A1">
      <pane xSplit="2" ySplit="2" topLeftCell="X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C30" sqref="AC30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75390625" style="17" customWidth="1"/>
    <col min="4" max="4" width="12.625" style="17" customWidth="1"/>
    <col min="5" max="5" width="12.75390625" style="17" customWidth="1"/>
    <col min="6" max="6" width="13.25390625" style="17" customWidth="1"/>
    <col min="7" max="7" width="8.125" style="17" hidden="1" customWidth="1"/>
    <col min="8" max="9" width="12.25390625" style="17" hidden="1" customWidth="1"/>
    <col min="10" max="10" width="13.25390625" style="17" hidden="1" customWidth="1"/>
    <col min="11" max="12" width="12.375" style="17" hidden="1" customWidth="1"/>
    <col min="13" max="13" width="11.375" style="17" hidden="1" customWidth="1"/>
    <col min="14" max="14" width="11.625" style="17" hidden="1" customWidth="1"/>
    <col min="15" max="15" width="11.75390625" style="17" hidden="1" customWidth="1"/>
    <col min="16" max="16" width="17.375" style="17" hidden="1" customWidth="1"/>
    <col min="17" max="17" width="12.875" style="17" hidden="1" customWidth="1"/>
    <col min="18" max="18" width="15.125" style="17" customWidth="1"/>
    <col min="19" max="20" width="12.875" style="17" customWidth="1"/>
    <col min="21" max="21" width="12.625" style="17" customWidth="1"/>
    <col min="22" max="22" width="13.25390625" style="17" customWidth="1"/>
    <col min="23" max="23" width="13.00390625" style="17" customWidth="1"/>
    <col min="24" max="24" width="13.25390625" style="17" customWidth="1"/>
    <col min="25" max="25" width="13.875" style="17" bestFit="1" customWidth="1"/>
    <col min="26" max="26" width="13.125" style="17" customWidth="1"/>
    <col min="27" max="27" width="16.375" style="17" customWidth="1"/>
    <col min="28" max="16384" width="9.125" style="17" customWidth="1"/>
  </cols>
  <sheetData>
    <row r="1" spans="1:16" ht="35.25" customHeight="1">
      <c r="A1" s="824"/>
      <c r="B1" s="825"/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</row>
    <row r="2" spans="1:16" ht="48.75" customHeight="1" thickBot="1">
      <c r="A2" s="826" t="s">
        <v>75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</row>
    <row r="3" spans="1:27" ht="20.25" customHeight="1" thickBot="1">
      <c r="A3" s="822" t="s">
        <v>0</v>
      </c>
      <c r="B3" s="822" t="s">
        <v>1</v>
      </c>
      <c r="C3" s="822" t="s">
        <v>76</v>
      </c>
      <c r="D3" s="18" t="s">
        <v>3</v>
      </c>
      <c r="E3" s="18" t="s">
        <v>6</v>
      </c>
      <c r="F3" s="19" t="s">
        <v>7</v>
      </c>
      <c r="G3" s="19" t="s">
        <v>8</v>
      </c>
      <c r="H3" s="19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98" t="s">
        <v>79</v>
      </c>
      <c r="R3" s="18" t="s">
        <v>8</v>
      </c>
      <c r="S3" s="18" t="s">
        <v>9</v>
      </c>
      <c r="T3" s="18" t="s">
        <v>10</v>
      </c>
      <c r="U3" s="18" t="s">
        <v>11</v>
      </c>
      <c r="V3" s="18" t="s">
        <v>12</v>
      </c>
      <c r="W3" s="18" t="s">
        <v>13</v>
      </c>
      <c r="X3" s="18" t="s">
        <v>14</v>
      </c>
      <c r="Y3" s="18" t="s">
        <v>15</v>
      </c>
      <c r="Z3" s="18" t="s">
        <v>16</v>
      </c>
      <c r="AA3" s="581">
        <v>2009</v>
      </c>
    </row>
    <row r="4" spans="1:27" ht="34.5" customHeight="1" thickBot="1">
      <c r="A4" s="823"/>
      <c r="B4" s="823"/>
      <c r="C4" s="823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22" t="s">
        <v>4</v>
      </c>
      <c r="R4" s="22" t="s">
        <v>4</v>
      </c>
      <c r="S4" s="22" t="s">
        <v>4</v>
      </c>
      <c r="T4" s="22" t="s">
        <v>4</v>
      </c>
      <c r="U4" s="22" t="s">
        <v>4</v>
      </c>
      <c r="V4" s="22" t="s">
        <v>4</v>
      </c>
      <c r="W4" s="22" t="s">
        <v>4</v>
      </c>
      <c r="X4" s="22" t="s">
        <v>4</v>
      </c>
      <c r="Y4" s="22" t="s">
        <v>4</v>
      </c>
      <c r="Z4" s="22" t="s">
        <v>4</v>
      </c>
      <c r="AA4" s="582" t="s">
        <v>4</v>
      </c>
    </row>
    <row r="5" spans="1:27" ht="31.5" customHeight="1">
      <c r="A5" s="23"/>
      <c r="B5" s="796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7"/>
      <c r="AA5" s="583"/>
    </row>
    <row r="6" spans="1:27" s="121" customFormat="1" ht="15" customHeight="1">
      <c r="A6" s="113">
        <v>1</v>
      </c>
      <c r="B6" s="114" t="s">
        <v>69</v>
      </c>
      <c r="C6" s="113" t="s">
        <v>70</v>
      </c>
      <c r="D6" s="115">
        <v>636</v>
      </c>
      <c r="E6" s="116">
        <v>641</v>
      </c>
      <c r="F6" s="117">
        <v>484</v>
      </c>
      <c r="G6" s="118"/>
      <c r="H6" s="115"/>
      <c r="I6" s="118"/>
      <c r="J6" s="115"/>
      <c r="K6" s="118"/>
      <c r="L6" s="115"/>
      <c r="M6" s="118"/>
      <c r="N6" s="115"/>
      <c r="O6" s="118"/>
      <c r="P6" s="119">
        <f>O6+N6+M6+L6+K6+J6+I6+H6+G6+F6+E6+D6</f>
        <v>1761</v>
      </c>
      <c r="Q6" s="120">
        <f>P6*0.155*1.18</f>
        <v>322.08689999999996</v>
      </c>
      <c r="R6" s="588">
        <v>435</v>
      </c>
      <c r="S6" s="588">
        <v>136</v>
      </c>
      <c r="T6" s="588">
        <v>80</v>
      </c>
      <c r="U6" s="588">
        <v>76</v>
      </c>
      <c r="V6" s="588">
        <v>71</v>
      </c>
      <c r="W6" s="588">
        <v>108</v>
      </c>
      <c r="X6" s="588">
        <v>424</v>
      </c>
      <c r="Y6" s="588">
        <v>562</v>
      </c>
      <c r="Z6" s="589">
        <v>860</v>
      </c>
      <c r="AA6" s="590">
        <f>SUM(D6+E6+F6+R6+S6+T6+U6+V6+W6+X6+Y6+Z6)</f>
        <v>4513</v>
      </c>
    </row>
    <row r="7" spans="1:27" s="121" customFormat="1" ht="12" customHeight="1">
      <c r="A7" s="113">
        <v>2</v>
      </c>
      <c r="B7" s="114" t="s">
        <v>32</v>
      </c>
      <c r="C7" s="113" t="s">
        <v>70</v>
      </c>
      <c r="D7" s="115">
        <v>4650</v>
      </c>
      <c r="E7" s="116">
        <v>4400</v>
      </c>
      <c r="F7" s="117">
        <v>4200</v>
      </c>
      <c r="G7" s="118"/>
      <c r="H7" s="115"/>
      <c r="I7" s="118"/>
      <c r="J7" s="115"/>
      <c r="K7" s="118"/>
      <c r="L7" s="115"/>
      <c r="M7" s="118"/>
      <c r="N7" s="115"/>
      <c r="O7" s="118"/>
      <c r="P7" s="119">
        <f aca="true" t="shared" si="0" ref="P7:P26">O7+N7+M7+L7+K7+J7+I7+H7+G7+F7+E7+D7</f>
        <v>13250</v>
      </c>
      <c r="Q7" s="120">
        <f>P7*0.155*1.18</f>
        <v>2423.4249999999997</v>
      </c>
      <c r="R7" s="588">
        <v>4000</v>
      </c>
      <c r="S7" s="588">
        <v>3650</v>
      </c>
      <c r="T7" s="588">
        <v>3800</v>
      </c>
      <c r="U7" s="588">
        <v>3800</v>
      </c>
      <c r="V7" s="588">
        <v>3700</v>
      </c>
      <c r="W7" s="588">
        <v>3650</v>
      </c>
      <c r="X7" s="588">
        <v>4000</v>
      </c>
      <c r="Y7" s="588">
        <v>3850</v>
      </c>
      <c r="Z7" s="589">
        <v>4500</v>
      </c>
      <c r="AA7" s="590">
        <f aca="true" t="shared" si="1" ref="AA7:AA31">SUM(D7+E7+F7+R7+S7+T7+U7+V7+W7+X7+Y7+Z7)</f>
        <v>48200</v>
      </c>
    </row>
    <row r="8" spans="1:27" s="121" customFormat="1" ht="14.25" customHeight="1">
      <c r="A8" s="113">
        <v>3</v>
      </c>
      <c r="B8" s="114" t="s">
        <v>48</v>
      </c>
      <c r="C8" s="113" t="s">
        <v>70</v>
      </c>
      <c r="D8" s="115">
        <v>5082</v>
      </c>
      <c r="E8" s="116">
        <v>3465</v>
      </c>
      <c r="F8" s="115">
        <v>4474</v>
      </c>
      <c r="G8" s="118"/>
      <c r="H8" s="115"/>
      <c r="I8" s="118"/>
      <c r="J8" s="115"/>
      <c r="K8" s="118"/>
      <c r="L8" s="115"/>
      <c r="M8" s="118"/>
      <c r="N8" s="115"/>
      <c r="O8" s="118"/>
      <c r="P8" s="119">
        <f t="shared" si="0"/>
        <v>13021</v>
      </c>
      <c r="Q8" s="120">
        <f>P8*0.155*1.18</f>
        <v>2381.5408999999995</v>
      </c>
      <c r="R8" s="588">
        <v>2996</v>
      </c>
      <c r="S8" s="588">
        <v>3455</v>
      </c>
      <c r="T8" s="588">
        <v>5297</v>
      </c>
      <c r="U8" s="588">
        <v>4692</v>
      </c>
      <c r="V8" s="588">
        <v>4214</v>
      </c>
      <c r="W8" s="588">
        <v>4322</v>
      </c>
      <c r="X8" s="588">
        <v>2899</v>
      </c>
      <c r="Y8" s="588">
        <v>3038</v>
      </c>
      <c r="Z8" s="589">
        <v>3948</v>
      </c>
      <c r="AA8" s="590">
        <f t="shared" si="1"/>
        <v>47882</v>
      </c>
    </row>
    <row r="9" spans="1:27" s="121" customFormat="1" ht="18" customHeight="1">
      <c r="A9" s="122">
        <v>4</v>
      </c>
      <c r="B9" s="114" t="s">
        <v>36</v>
      </c>
      <c r="C9" s="113" t="s">
        <v>70</v>
      </c>
      <c r="D9" s="115">
        <v>0</v>
      </c>
      <c r="E9" s="118">
        <v>0</v>
      </c>
      <c r="F9" s="115">
        <v>0</v>
      </c>
      <c r="G9" s="118"/>
      <c r="H9" s="115"/>
      <c r="I9" s="118"/>
      <c r="J9" s="115"/>
      <c r="K9" s="118"/>
      <c r="L9" s="115"/>
      <c r="M9" s="118"/>
      <c r="N9" s="115"/>
      <c r="O9" s="118"/>
      <c r="P9" s="119">
        <f t="shared" si="0"/>
        <v>0</v>
      </c>
      <c r="Q9" s="120">
        <f>P9*0.155*1.18</f>
        <v>0</v>
      </c>
      <c r="R9" s="588">
        <v>0</v>
      </c>
      <c r="S9" s="588">
        <v>0</v>
      </c>
      <c r="T9" s="588">
        <v>735</v>
      </c>
      <c r="U9" s="588">
        <v>758</v>
      </c>
      <c r="V9" s="588">
        <v>552</v>
      </c>
      <c r="W9" s="588">
        <v>2081</v>
      </c>
      <c r="X9" s="588">
        <v>0</v>
      </c>
      <c r="Y9" s="588">
        <v>479</v>
      </c>
      <c r="Z9" s="589">
        <v>1832</v>
      </c>
      <c r="AA9" s="590">
        <f t="shared" si="1"/>
        <v>6437</v>
      </c>
    </row>
    <row r="10" spans="1:27" s="121" customFormat="1" ht="13.5" customHeight="1">
      <c r="A10" s="122">
        <v>5</v>
      </c>
      <c r="B10" s="114" t="s">
        <v>37</v>
      </c>
      <c r="C10" s="113" t="s">
        <v>71</v>
      </c>
      <c r="D10" s="115">
        <v>143878</v>
      </c>
      <c r="E10" s="118">
        <v>137574.88</v>
      </c>
      <c r="F10" s="115">
        <v>131856.64</v>
      </c>
      <c r="G10" s="118"/>
      <c r="H10" s="115"/>
      <c r="I10" s="118"/>
      <c r="J10" s="115"/>
      <c r="K10" s="118"/>
      <c r="L10" s="115"/>
      <c r="M10" s="118"/>
      <c r="N10" s="115"/>
      <c r="O10" s="118"/>
      <c r="P10" s="119">
        <f t="shared" si="0"/>
        <v>413309.52</v>
      </c>
      <c r="Q10" s="120">
        <f>P10*0.117*1.18</f>
        <v>57061.5123312</v>
      </c>
      <c r="R10" s="588">
        <v>102795</v>
      </c>
      <c r="S10" s="588">
        <v>53619</v>
      </c>
      <c r="T10" s="588">
        <v>78025</v>
      </c>
      <c r="U10" s="588">
        <v>119539</v>
      </c>
      <c r="V10" s="588">
        <v>120426</v>
      </c>
      <c r="W10" s="588">
        <v>128579</v>
      </c>
      <c r="X10" s="588">
        <v>14529</v>
      </c>
      <c r="Y10" s="588">
        <v>142976</v>
      </c>
      <c r="Z10" s="589">
        <v>152026</v>
      </c>
      <c r="AA10" s="590">
        <f t="shared" si="1"/>
        <v>1325823.52</v>
      </c>
    </row>
    <row r="11" spans="1:27" s="121" customFormat="1" ht="18" customHeight="1">
      <c r="A11" s="122">
        <v>6</v>
      </c>
      <c r="B11" s="114" t="s">
        <v>38</v>
      </c>
      <c r="C11" s="113" t="s">
        <v>70</v>
      </c>
      <c r="D11" s="115">
        <v>17104</v>
      </c>
      <c r="E11" s="118">
        <v>21957</v>
      </c>
      <c r="F11" s="115">
        <v>19344</v>
      </c>
      <c r="G11" s="118"/>
      <c r="H11" s="115"/>
      <c r="I11" s="118"/>
      <c r="J11" s="115"/>
      <c r="K11" s="118"/>
      <c r="L11" s="115"/>
      <c r="M11" s="118"/>
      <c r="N11" s="115"/>
      <c r="O11" s="118"/>
      <c r="P11" s="119">
        <f t="shared" si="0"/>
        <v>58405</v>
      </c>
      <c r="Q11" s="120">
        <f>P11*0.155*1.18</f>
        <v>10682.2745</v>
      </c>
      <c r="R11" s="588">
        <v>19633</v>
      </c>
      <c r="S11" s="588">
        <v>49920</v>
      </c>
      <c r="T11" s="588">
        <v>13055</v>
      </c>
      <c r="U11" s="588">
        <v>13576</v>
      </c>
      <c r="V11" s="588">
        <v>11174</v>
      </c>
      <c r="W11" s="588">
        <v>20104</v>
      </c>
      <c r="X11" s="588">
        <v>26554</v>
      </c>
      <c r="Y11" s="588">
        <v>23630</v>
      </c>
      <c r="Z11" s="589">
        <v>21586</v>
      </c>
      <c r="AA11" s="590">
        <f t="shared" si="1"/>
        <v>257637</v>
      </c>
    </row>
    <row r="12" spans="1:27" s="121" customFormat="1" ht="23.25" customHeight="1">
      <c r="A12" s="122">
        <v>7</v>
      </c>
      <c r="B12" s="114" t="s">
        <v>19</v>
      </c>
      <c r="C12" s="113" t="s">
        <v>72</v>
      </c>
      <c r="D12" s="123">
        <v>0</v>
      </c>
      <c r="E12" s="123">
        <v>0</v>
      </c>
      <c r="F12" s="124">
        <v>0</v>
      </c>
      <c r="G12" s="118"/>
      <c r="H12" s="115"/>
      <c r="I12" s="125"/>
      <c r="J12" s="126"/>
      <c r="K12" s="118"/>
      <c r="L12" s="127"/>
      <c r="M12" s="125"/>
      <c r="N12" s="126"/>
      <c r="O12" s="125"/>
      <c r="P12" s="119">
        <f t="shared" si="0"/>
        <v>0</v>
      </c>
      <c r="Q12" s="120"/>
      <c r="R12" s="589">
        <v>0</v>
      </c>
      <c r="S12" s="589">
        <v>0</v>
      </c>
      <c r="T12" s="589">
        <v>0</v>
      </c>
      <c r="U12" s="589">
        <v>0</v>
      </c>
      <c r="V12" s="589">
        <v>0</v>
      </c>
      <c r="W12" s="589">
        <v>841</v>
      </c>
      <c r="X12" s="589">
        <v>0</v>
      </c>
      <c r="Y12" s="589">
        <v>0</v>
      </c>
      <c r="Z12" s="589">
        <v>0</v>
      </c>
      <c r="AA12" s="590">
        <f t="shared" si="1"/>
        <v>841</v>
      </c>
    </row>
    <row r="13" spans="1:27" s="121" customFormat="1" ht="26.25" customHeight="1">
      <c r="A13" s="122">
        <v>8</v>
      </c>
      <c r="B13" s="114" t="s">
        <v>35</v>
      </c>
      <c r="C13" s="113" t="s">
        <v>70</v>
      </c>
      <c r="D13" s="127">
        <v>1230</v>
      </c>
      <c r="E13" s="128">
        <v>1210</v>
      </c>
      <c r="F13" s="115">
        <v>0</v>
      </c>
      <c r="G13" s="118"/>
      <c r="H13" s="115"/>
      <c r="I13" s="125"/>
      <c r="J13" s="127"/>
      <c r="K13" s="118"/>
      <c r="L13" s="127"/>
      <c r="M13" s="125"/>
      <c r="N13" s="127"/>
      <c r="O13" s="125"/>
      <c r="P13" s="119">
        <f t="shared" si="0"/>
        <v>2440</v>
      </c>
      <c r="Q13" s="120"/>
      <c r="R13" s="589">
        <v>10</v>
      </c>
      <c r="S13" s="589">
        <v>970</v>
      </c>
      <c r="T13" s="589">
        <v>1010</v>
      </c>
      <c r="U13" s="589">
        <v>820</v>
      </c>
      <c r="V13" s="589">
        <v>520</v>
      </c>
      <c r="W13" s="589">
        <v>600</v>
      </c>
      <c r="X13" s="589">
        <v>360</v>
      </c>
      <c r="Y13" s="589">
        <v>120</v>
      </c>
      <c r="Z13" s="589">
        <v>0</v>
      </c>
      <c r="AA13" s="590">
        <f t="shared" si="1"/>
        <v>6850</v>
      </c>
    </row>
    <row r="14" spans="1:27" s="121" customFormat="1" ht="15.75" customHeight="1">
      <c r="A14" s="122">
        <v>9</v>
      </c>
      <c r="B14" s="114" t="s">
        <v>20</v>
      </c>
      <c r="C14" s="113" t="s">
        <v>72</v>
      </c>
      <c r="D14" s="127">
        <v>0</v>
      </c>
      <c r="E14" s="128">
        <v>701</v>
      </c>
      <c r="F14" s="115">
        <v>178</v>
      </c>
      <c r="G14" s="118"/>
      <c r="H14" s="115"/>
      <c r="I14" s="125"/>
      <c r="J14" s="115"/>
      <c r="K14" s="118"/>
      <c r="L14" s="127"/>
      <c r="M14" s="125"/>
      <c r="N14" s="127"/>
      <c r="O14" s="125"/>
      <c r="P14" s="119">
        <f t="shared" si="0"/>
        <v>879</v>
      </c>
      <c r="Q14" s="120"/>
      <c r="R14" s="589">
        <v>0</v>
      </c>
      <c r="S14" s="589">
        <v>881</v>
      </c>
      <c r="T14" s="589">
        <v>0</v>
      </c>
      <c r="U14" s="589">
        <v>0</v>
      </c>
      <c r="V14" s="589">
        <v>0</v>
      </c>
      <c r="W14" s="589">
        <v>1350</v>
      </c>
      <c r="X14" s="589">
        <v>0</v>
      </c>
      <c r="Y14" s="589">
        <v>0</v>
      </c>
      <c r="Z14" s="589">
        <v>2752</v>
      </c>
      <c r="AA14" s="590">
        <f t="shared" si="1"/>
        <v>5862</v>
      </c>
    </row>
    <row r="15" spans="1:27" s="121" customFormat="1" ht="17.25" customHeight="1">
      <c r="A15" s="122">
        <v>10</v>
      </c>
      <c r="B15" s="114" t="s">
        <v>21</v>
      </c>
      <c r="C15" s="113" t="s">
        <v>72</v>
      </c>
      <c r="D15" s="127">
        <v>6160</v>
      </c>
      <c r="E15" s="118">
        <v>5860</v>
      </c>
      <c r="F15" s="115">
        <v>4060</v>
      </c>
      <c r="G15" s="118"/>
      <c r="H15" s="115"/>
      <c r="I15" s="125"/>
      <c r="J15" s="115"/>
      <c r="K15" s="125"/>
      <c r="L15" s="127"/>
      <c r="M15" s="125"/>
      <c r="N15" s="127"/>
      <c r="O15" s="125"/>
      <c r="P15" s="119">
        <f t="shared" si="0"/>
        <v>16080</v>
      </c>
      <c r="Q15" s="120">
        <f>P15*0.155*1.18</f>
        <v>2941.032</v>
      </c>
      <c r="R15" s="589">
        <v>4520</v>
      </c>
      <c r="S15" s="589">
        <v>3520</v>
      </c>
      <c r="T15" s="589">
        <v>3560</v>
      </c>
      <c r="U15" s="589">
        <v>2220</v>
      </c>
      <c r="V15" s="589">
        <v>2380</v>
      </c>
      <c r="W15" s="589">
        <v>3800</v>
      </c>
      <c r="X15" s="589">
        <v>6480</v>
      </c>
      <c r="Y15" s="589">
        <v>6280</v>
      </c>
      <c r="Z15" s="589">
        <v>6040</v>
      </c>
      <c r="AA15" s="590">
        <f t="shared" si="1"/>
        <v>54880</v>
      </c>
    </row>
    <row r="16" spans="1:27" s="121" customFormat="1" ht="15.75" customHeight="1">
      <c r="A16" s="122">
        <v>11</v>
      </c>
      <c r="B16" s="114" t="s">
        <v>63</v>
      </c>
      <c r="C16" s="113" t="s">
        <v>70</v>
      </c>
      <c r="D16" s="127">
        <v>188985</v>
      </c>
      <c r="E16" s="118">
        <v>693029</v>
      </c>
      <c r="F16" s="115">
        <v>776261</v>
      </c>
      <c r="G16" s="118"/>
      <c r="H16" s="115"/>
      <c r="I16" s="125"/>
      <c r="J16" s="115"/>
      <c r="K16" s="125"/>
      <c r="L16" s="127"/>
      <c r="M16" s="125"/>
      <c r="N16" s="127"/>
      <c r="O16" s="125"/>
      <c r="P16" s="119">
        <f t="shared" si="0"/>
        <v>1658275</v>
      </c>
      <c r="Q16" s="120">
        <f>P16*0.025*1.18</f>
        <v>48919.112499999996</v>
      </c>
      <c r="R16" s="589">
        <v>716909</v>
      </c>
      <c r="S16" s="589">
        <v>816550</v>
      </c>
      <c r="T16" s="589">
        <v>804412</v>
      </c>
      <c r="U16" s="589">
        <v>779705</v>
      </c>
      <c r="V16" s="589">
        <v>518468</v>
      </c>
      <c r="W16" s="589">
        <v>757649</v>
      </c>
      <c r="X16" s="589">
        <v>856283</v>
      </c>
      <c r="Y16" s="589">
        <v>877521</v>
      </c>
      <c r="Z16" s="589">
        <v>907170</v>
      </c>
      <c r="AA16" s="590">
        <f t="shared" si="1"/>
        <v>8692942</v>
      </c>
    </row>
    <row r="17" spans="1:27" s="121" customFormat="1" ht="22.5" customHeight="1">
      <c r="A17" s="122">
        <v>12</v>
      </c>
      <c r="B17" s="176" t="s">
        <v>73</v>
      </c>
      <c r="C17" s="113" t="s">
        <v>70</v>
      </c>
      <c r="D17" s="127">
        <v>0</v>
      </c>
      <c r="E17" s="127">
        <v>0</v>
      </c>
      <c r="F17" s="127">
        <v>0</v>
      </c>
      <c r="G17" s="118"/>
      <c r="H17" s="127"/>
      <c r="I17" s="128"/>
      <c r="J17" s="115"/>
      <c r="K17" s="125"/>
      <c r="L17" s="127"/>
      <c r="M17" s="125"/>
      <c r="N17" s="129"/>
      <c r="O17" s="130"/>
      <c r="P17" s="119">
        <f t="shared" si="0"/>
        <v>0</v>
      </c>
      <c r="Q17" s="120">
        <f>P17*0.155*1.18</f>
        <v>0</v>
      </c>
      <c r="R17" s="589">
        <v>0</v>
      </c>
      <c r="S17" s="589">
        <v>0</v>
      </c>
      <c r="T17" s="589">
        <v>6080</v>
      </c>
      <c r="U17" s="589">
        <v>8460</v>
      </c>
      <c r="V17" s="589">
        <v>5908</v>
      </c>
      <c r="W17" s="589">
        <v>6080</v>
      </c>
      <c r="X17" s="589">
        <v>0</v>
      </c>
      <c r="Y17" s="589">
        <v>0</v>
      </c>
      <c r="Z17" s="589">
        <v>880</v>
      </c>
      <c r="AA17" s="590">
        <f t="shared" si="1"/>
        <v>27408</v>
      </c>
    </row>
    <row r="18" spans="1:27" s="121" customFormat="1" ht="15" customHeight="1">
      <c r="A18" s="122">
        <v>13</v>
      </c>
      <c r="B18" s="114" t="s">
        <v>24</v>
      </c>
      <c r="C18" s="113" t="s">
        <v>72</v>
      </c>
      <c r="D18" s="127">
        <v>760</v>
      </c>
      <c r="E18" s="125">
        <v>240</v>
      </c>
      <c r="F18" s="127">
        <v>7360</v>
      </c>
      <c r="G18" s="118"/>
      <c r="H18" s="127"/>
      <c r="I18" s="128"/>
      <c r="J18" s="115"/>
      <c r="K18" s="125"/>
      <c r="L18" s="127"/>
      <c r="M18" s="125"/>
      <c r="N18" s="127"/>
      <c r="O18" s="125"/>
      <c r="P18" s="119">
        <f t="shared" si="0"/>
        <v>8360</v>
      </c>
      <c r="Q18" s="120">
        <f>P18*0.155*1.18</f>
        <v>1529.0439999999999</v>
      </c>
      <c r="R18" s="591">
        <v>0</v>
      </c>
      <c r="S18" s="591">
        <v>0</v>
      </c>
      <c r="T18" s="589">
        <v>0</v>
      </c>
      <c r="U18" s="589">
        <v>0</v>
      </c>
      <c r="V18" s="589">
        <v>0</v>
      </c>
      <c r="W18" s="589">
        <v>0</v>
      </c>
      <c r="X18" s="589">
        <v>0</v>
      </c>
      <c r="Y18" s="589">
        <v>0</v>
      </c>
      <c r="Z18" s="589">
        <v>0</v>
      </c>
      <c r="AA18" s="590">
        <f t="shared" si="1"/>
        <v>8360</v>
      </c>
    </row>
    <row r="19" spans="1:27" s="121" customFormat="1" ht="16.5" customHeight="1">
      <c r="A19" s="122">
        <v>14</v>
      </c>
      <c r="B19" s="114" t="s">
        <v>31</v>
      </c>
      <c r="C19" s="113" t="s">
        <v>70</v>
      </c>
      <c r="D19" s="127">
        <v>339</v>
      </c>
      <c r="E19" s="125">
        <v>0</v>
      </c>
      <c r="F19" s="127">
        <v>557</v>
      </c>
      <c r="G19" s="118"/>
      <c r="H19" s="127"/>
      <c r="I19" s="128"/>
      <c r="J19" s="115"/>
      <c r="K19" s="125"/>
      <c r="L19" s="127"/>
      <c r="M19" s="125"/>
      <c r="N19" s="127"/>
      <c r="O19" s="125"/>
      <c r="P19" s="119">
        <f t="shared" si="0"/>
        <v>896</v>
      </c>
      <c r="Q19" s="120"/>
      <c r="R19" s="591">
        <v>579</v>
      </c>
      <c r="S19" s="591">
        <v>199</v>
      </c>
      <c r="T19" s="589">
        <v>219</v>
      </c>
      <c r="U19" s="589">
        <v>181</v>
      </c>
      <c r="V19" s="589">
        <v>161</v>
      </c>
      <c r="W19" s="589">
        <v>199</v>
      </c>
      <c r="X19" s="589">
        <v>383</v>
      </c>
      <c r="Y19" s="589">
        <v>384</v>
      </c>
      <c r="Z19" s="589">
        <v>366</v>
      </c>
      <c r="AA19" s="590">
        <f t="shared" si="1"/>
        <v>3567</v>
      </c>
    </row>
    <row r="20" spans="1:27" s="121" customFormat="1" ht="18.75" customHeight="1">
      <c r="A20" s="122">
        <v>15</v>
      </c>
      <c r="B20" s="131" t="s">
        <v>34</v>
      </c>
      <c r="C20" s="113" t="s">
        <v>70</v>
      </c>
      <c r="D20" s="127">
        <v>25080</v>
      </c>
      <c r="E20" s="118">
        <v>27320</v>
      </c>
      <c r="F20" s="127">
        <v>23120</v>
      </c>
      <c r="G20" s="118"/>
      <c r="H20" s="115"/>
      <c r="I20" s="125"/>
      <c r="J20" s="115"/>
      <c r="K20" s="125"/>
      <c r="L20" s="127"/>
      <c r="M20" s="125"/>
      <c r="N20" s="127"/>
      <c r="O20" s="125"/>
      <c r="P20" s="119">
        <f t="shared" si="0"/>
        <v>75520</v>
      </c>
      <c r="Q20" s="586">
        <f>P20*0.155*1.18</f>
        <v>13812.608</v>
      </c>
      <c r="R20" s="589">
        <v>25520</v>
      </c>
      <c r="S20" s="589">
        <v>24180</v>
      </c>
      <c r="T20" s="589">
        <v>23620</v>
      </c>
      <c r="U20" s="589">
        <v>22380</v>
      </c>
      <c r="V20" s="589">
        <v>23060</v>
      </c>
      <c r="W20" s="589">
        <v>23600</v>
      </c>
      <c r="X20" s="589">
        <v>23300</v>
      </c>
      <c r="Y20" s="589">
        <v>22800</v>
      </c>
      <c r="Z20" s="589">
        <v>22560</v>
      </c>
      <c r="AA20" s="590">
        <f t="shared" si="1"/>
        <v>286540</v>
      </c>
    </row>
    <row r="21" spans="1:27" s="121" customFormat="1" ht="16.5" customHeight="1" thickBot="1">
      <c r="A21" s="132">
        <v>16</v>
      </c>
      <c r="B21" s="133" t="s">
        <v>26</v>
      </c>
      <c r="C21" s="132" t="s">
        <v>71</v>
      </c>
      <c r="D21" s="134">
        <v>32752</v>
      </c>
      <c r="E21" s="134">
        <v>181406</v>
      </c>
      <c r="F21" s="134">
        <v>188684</v>
      </c>
      <c r="G21" s="135"/>
      <c r="H21" s="136"/>
      <c r="I21" s="137"/>
      <c r="J21" s="136"/>
      <c r="K21" s="137"/>
      <c r="L21" s="134"/>
      <c r="M21" s="137"/>
      <c r="N21" s="134"/>
      <c r="O21" s="137"/>
      <c r="P21" s="138">
        <f t="shared" si="0"/>
        <v>402842</v>
      </c>
      <c r="Q21" s="120">
        <f>P21*0.025*1.18</f>
        <v>11883.839</v>
      </c>
      <c r="R21" s="589">
        <v>175010</v>
      </c>
      <c r="S21" s="589">
        <v>130981</v>
      </c>
      <c r="T21" s="589">
        <v>204563</v>
      </c>
      <c r="U21" s="589">
        <v>192413</v>
      </c>
      <c r="V21" s="589">
        <v>181552</v>
      </c>
      <c r="W21" s="589">
        <v>220625</v>
      </c>
      <c r="X21" s="589">
        <v>164336</v>
      </c>
      <c r="Y21" s="589">
        <v>172642</v>
      </c>
      <c r="Z21" s="589">
        <v>248285</v>
      </c>
      <c r="AA21" s="590">
        <f t="shared" si="1"/>
        <v>2093249</v>
      </c>
    </row>
    <row r="22" spans="1:27" s="121" customFormat="1" ht="13.5" customHeight="1" thickBot="1">
      <c r="A22" s="828">
        <v>17</v>
      </c>
      <c r="B22" s="828" t="s">
        <v>27</v>
      </c>
      <c r="C22" s="139" t="s">
        <v>71</v>
      </c>
      <c r="D22" s="140">
        <v>42562</v>
      </c>
      <c r="E22" s="140">
        <v>114714</v>
      </c>
      <c r="F22" s="140">
        <v>123828</v>
      </c>
      <c r="G22" s="141"/>
      <c r="H22" s="142"/>
      <c r="I22" s="143"/>
      <c r="J22" s="142"/>
      <c r="K22" s="143"/>
      <c r="L22" s="140"/>
      <c r="M22" s="143"/>
      <c r="N22" s="140"/>
      <c r="O22" s="143"/>
      <c r="P22" s="144">
        <f t="shared" si="0"/>
        <v>281104</v>
      </c>
      <c r="Q22" s="573">
        <f>P22/(P22+P23)</f>
        <v>0.9138443333355006</v>
      </c>
      <c r="R22" s="592">
        <f>Q22*174225</f>
        <v>159214.5289753776</v>
      </c>
      <c r="S22" s="592">
        <f>Q22*129283</f>
        <v>118144.53694661353</v>
      </c>
      <c r="T22" s="592">
        <f>Q22*169602</f>
        <v>154989.82662236757</v>
      </c>
      <c r="U22" s="592">
        <f>Q22*138255</f>
        <v>126343.54830529964</v>
      </c>
      <c r="V22" s="592">
        <f>Q22*142098</f>
        <v>129855.45207830796</v>
      </c>
      <c r="W22" s="592">
        <f>Q22*120675</f>
        <v>110278.16492526155</v>
      </c>
      <c r="X22" s="592">
        <f>Q22*149803</f>
        <v>136896.622666658</v>
      </c>
      <c r="Y22" s="592">
        <f>Q22*164593</f>
        <v>150412.38035669006</v>
      </c>
      <c r="Z22" s="589">
        <v>243735</v>
      </c>
      <c r="AA22" s="590">
        <f t="shared" si="1"/>
        <v>1610974.060876576</v>
      </c>
    </row>
    <row r="23" spans="1:27" s="121" customFormat="1" ht="12.75" customHeight="1" thickBot="1">
      <c r="A23" s="829">
        <v>17</v>
      </c>
      <c r="B23" s="829" t="s">
        <v>27</v>
      </c>
      <c r="C23" s="145" t="s">
        <v>72</v>
      </c>
      <c r="D23" s="146">
        <v>680</v>
      </c>
      <c r="E23" s="140">
        <v>9490</v>
      </c>
      <c r="F23" s="146">
        <v>16332</v>
      </c>
      <c r="G23" s="147"/>
      <c r="H23" s="148"/>
      <c r="I23" s="149"/>
      <c r="J23" s="148"/>
      <c r="K23" s="149"/>
      <c r="L23" s="146"/>
      <c r="M23" s="149"/>
      <c r="N23" s="146"/>
      <c r="O23" s="149"/>
      <c r="P23" s="150">
        <f t="shared" si="0"/>
        <v>26502</v>
      </c>
      <c r="Q23" s="573">
        <f>1-Q22</f>
        <v>0.08615566666449936</v>
      </c>
      <c r="R23" s="592">
        <f>Q23*174225</f>
        <v>15010.471024622402</v>
      </c>
      <c r="S23" s="592">
        <f>Q23*129283</f>
        <v>11138.463053386471</v>
      </c>
      <c r="T23" s="592">
        <f>Q23*169602</f>
        <v>14612.173377632422</v>
      </c>
      <c r="U23" s="592">
        <f>Q23*138255</f>
        <v>11911.45169470036</v>
      </c>
      <c r="V23" s="592">
        <f>Q23*142098</f>
        <v>12242.54792169203</v>
      </c>
      <c r="W23" s="592">
        <f>Q23*120675</f>
        <v>10396.835074738461</v>
      </c>
      <c r="X23" s="592">
        <f>Q23*149803</f>
        <v>12906.377333341998</v>
      </c>
      <c r="Y23" s="592">
        <f>Q23*164593</f>
        <v>14180.619643309943</v>
      </c>
      <c r="Z23" s="589">
        <f>11230+4264</f>
        <v>15494</v>
      </c>
      <c r="AA23" s="590">
        <f t="shared" si="1"/>
        <v>144394.93912342406</v>
      </c>
    </row>
    <row r="24" spans="1:27" s="121" customFormat="1" ht="15" customHeight="1" thickBot="1">
      <c r="A24" s="151">
        <v>18</v>
      </c>
      <c r="B24" s="152" t="s">
        <v>46</v>
      </c>
      <c r="C24" s="153" t="s">
        <v>70</v>
      </c>
      <c r="D24" s="154">
        <v>109704</v>
      </c>
      <c r="E24" s="155">
        <v>99937</v>
      </c>
      <c r="F24" s="154">
        <v>107310</v>
      </c>
      <c r="G24" s="155"/>
      <c r="H24" s="156"/>
      <c r="I24" s="157"/>
      <c r="J24" s="156"/>
      <c r="K24" s="157"/>
      <c r="L24" s="154"/>
      <c r="M24" s="157"/>
      <c r="N24" s="154"/>
      <c r="O24" s="157"/>
      <c r="P24" s="158">
        <f t="shared" si="0"/>
        <v>316951</v>
      </c>
      <c r="Q24" s="120"/>
      <c r="R24" s="589">
        <v>104711</v>
      </c>
      <c r="S24" s="589">
        <v>111057</v>
      </c>
      <c r="T24" s="589">
        <v>114474</v>
      </c>
      <c r="U24" s="589">
        <v>120792</v>
      </c>
      <c r="V24" s="589">
        <v>119627</v>
      </c>
      <c r="W24" s="589">
        <v>112258</v>
      </c>
      <c r="X24" s="589">
        <v>108387</v>
      </c>
      <c r="Y24" s="589">
        <v>110770</v>
      </c>
      <c r="Z24" s="589">
        <v>115587</v>
      </c>
      <c r="AA24" s="590">
        <f t="shared" si="1"/>
        <v>1334614</v>
      </c>
    </row>
    <row r="25" spans="1:27" s="121" customFormat="1" ht="13.5" customHeight="1">
      <c r="A25" s="828">
        <v>19</v>
      </c>
      <c r="B25" s="828" t="s">
        <v>28</v>
      </c>
      <c r="C25" s="139" t="s">
        <v>71</v>
      </c>
      <c r="D25" s="159">
        <v>711386</v>
      </c>
      <c r="E25" s="160">
        <v>2052340</v>
      </c>
      <c r="F25" s="159">
        <v>2757129</v>
      </c>
      <c r="G25" s="160"/>
      <c r="H25" s="160"/>
      <c r="I25" s="159"/>
      <c r="J25" s="160"/>
      <c r="K25" s="159"/>
      <c r="L25" s="159"/>
      <c r="M25" s="159"/>
      <c r="N25" s="159"/>
      <c r="O25" s="159"/>
      <c r="P25" s="161">
        <f t="shared" si="0"/>
        <v>5520855</v>
      </c>
      <c r="Q25" s="573">
        <f>P25/(P25+P26)</f>
        <v>0.9957786964858604</v>
      </c>
      <c r="R25" s="593">
        <f>Q25*3335408</f>
        <v>3321328.2304885103</v>
      </c>
      <c r="S25" s="592">
        <f>Q25*2471244</f>
        <v>2460812.1290185037</v>
      </c>
      <c r="T25" s="589">
        <f>Q25*2308294</f>
        <v>2298549.9904261325</v>
      </c>
      <c r="U25" s="592">
        <f>Q25*2546632</f>
        <v>2535881.8933891794</v>
      </c>
      <c r="V25" s="592">
        <f>Q25*3182844</f>
        <v>3169408.2494378416</v>
      </c>
      <c r="W25" s="592">
        <f>Q25*3114694</f>
        <v>3101545.93127233</v>
      </c>
      <c r="X25" s="592">
        <f>Q25*3269085</f>
        <v>3255285.2000014787</v>
      </c>
      <c r="Y25" s="592">
        <f>Q25*2949530</f>
        <v>2937079.1386459395</v>
      </c>
      <c r="Z25" s="589">
        <v>3069318</v>
      </c>
      <c r="AA25" s="590">
        <f t="shared" si="1"/>
        <v>31670063.76267992</v>
      </c>
    </row>
    <row r="26" spans="1:155" s="121" customFormat="1" ht="13.5" customHeight="1" thickBot="1">
      <c r="A26" s="829"/>
      <c r="B26" s="829"/>
      <c r="C26" s="145" t="s">
        <v>72</v>
      </c>
      <c r="D26" s="163">
        <v>588</v>
      </c>
      <c r="E26" s="163">
        <v>10192</v>
      </c>
      <c r="F26" s="163">
        <v>12624</v>
      </c>
      <c r="G26" s="163"/>
      <c r="H26" s="163"/>
      <c r="I26" s="163"/>
      <c r="J26" s="163"/>
      <c r="K26" s="163"/>
      <c r="L26" s="163"/>
      <c r="M26" s="163"/>
      <c r="N26" s="163"/>
      <c r="O26" s="163"/>
      <c r="P26" s="164">
        <f t="shared" si="0"/>
        <v>23404</v>
      </c>
      <c r="Q26" s="587">
        <f>1-Q25</f>
        <v>0.004221303514139629</v>
      </c>
      <c r="R26" s="593">
        <f>Q26*3335408</f>
        <v>14079.769511489432</v>
      </c>
      <c r="S26" s="592">
        <f>Q26*2471244</f>
        <v>10431.870981496475</v>
      </c>
      <c r="T26" s="592">
        <f>Q26*2308294</f>
        <v>9744.00957386742</v>
      </c>
      <c r="U26" s="592">
        <f>Q26*2546632</f>
        <v>10750.106610820432</v>
      </c>
      <c r="V26" s="592">
        <f>Q26*3182844</f>
        <v>13435.750562158235</v>
      </c>
      <c r="W26" s="592">
        <f>Q26*3114694</f>
        <v>13148.068727669619</v>
      </c>
      <c r="X26" s="592">
        <f>Q26*3269085</f>
        <v>13799.79999852115</v>
      </c>
      <c r="Y26" s="592">
        <f>Q26*2949530</f>
        <v>12450.86135406026</v>
      </c>
      <c r="Z26" s="594">
        <v>8408</v>
      </c>
      <c r="AA26" s="590">
        <f t="shared" si="1"/>
        <v>129652.23732008302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</row>
    <row r="27" spans="1:155" s="121" customFormat="1" ht="13.5" customHeight="1" hidden="1" thickBot="1">
      <c r="A27" s="568"/>
      <c r="B27" s="199"/>
      <c r="C27" s="569"/>
      <c r="D27" s="570">
        <f aca="true" t="shared" si="2" ref="D27:O27">D29-D25-D26-D22-D23-D21-D16</f>
        <v>314623</v>
      </c>
      <c r="E27" s="570">
        <f t="shared" si="2"/>
        <v>303305.8799999999</v>
      </c>
      <c r="F27" s="570">
        <f t="shared" si="2"/>
        <v>302943.64000000013</v>
      </c>
      <c r="G27" s="570">
        <f t="shared" si="2"/>
        <v>0</v>
      </c>
      <c r="H27" s="570">
        <f t="shared" si="2"/>
        <v>0</v>
      </c>
      <c r="I27" s="570">
        <f t="shared" si="2"/>
        <v>0</v>
      </c>
      <c r="J27" s="570">
        <f t="shared" si="2"/>
        <v>0</v>
      </c>
      <c r="K27" s="570">
        <f t="shared" si="2"/>
        <v>0</v>
      </c>
      <c r="L27" s="570">
        <f t="shared" si="2"/>
        <v>0</v>
      </c>
      <c r="M27" s="570">
        <f t="shared" si="2"/>
        <v>0</v>
      </c>
      <c r="N27" s="570">
        <f t="shared" si="2"/>
        <v>0</v>
      </c>
      <c r="O27" s="570">
        <f t="shared" si="2"/>
        <v>0</v>
      </c>
      <c r="P27" s="571"/>
      <c r="Q27" s="165"/>
      <c r="R27" s="594"/>
      <c r="S27" s="594"/>
      <c r="T27" s="589">
        <f>Q27*2308294</f>
        <v>0</v>
      </c>
      <c r="U27" s="594"/>
      <c r="V27" s="594"/>
      <c r="W27" s="594"/>
      <c r="X27" s="594"/>
      <c r="Y27" s="594"/>
      <c r="Z27" s="594"/>
      <c r="AA27" s="590">
        <f t="shared" si="1"/>
        <v>920872.52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</row>
    <row r="28" spans="1:155" s="121" customFormat="1" ht="13.5" customHeight="1" thickBot="1">
      <c r="A28" s="568"/>
      <c r="B28" s="199" t="s">
        <v>182</v>
      </c>
      <c r="C28" s="139" t="s">
        <v>71</v>
      </c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1"/>
      <c r="Q28" s="165"/>
      <c r="R28" s="594">
        <v>43185</v>
      </c>
      <c r="S28" s="594">
        <v>36437</v>
      </c>
      <c r="T28" s="594">
        <v>38363</v>
      </c>
      <c r="U28" s="594">
        <v>40833</v>
      </c>
      <c r="V28" s="594">
        <v>36947</v>
      </c>
      <c r="W28" s="594">
        <v>47659</v>
      </c>
      <c r="X28" s="594">
        <v>65200</v>
      </c>
      <c r="Y28" s="594">
        <v>72534</v>
      </c>
      <c r="Z28" s="594">
        <v>113584</v>
      </c>
      <c r="AA28" s="590">
        <f t="shared" si="1"/>
        <v>494742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</row>
    <row r="29" spans="1:242" s="121" customFormat="1" ht="16.5" customHeight="1" thickBot="1">
      <c r="A29" s="162"/>
      <c r="B29" s="167" t="s">
        <v>5</v>
      </c>
      <c r="C29" s="162"/>
      <c r="D29" s="168">
        <f>D6+D7+D8+D9+D10+D11+D12+D13+D14+D15+D16+D17+D18+D19+D20+D21+D23+D24+D25+D22+D26+D28</f>
        <v>1291576</v>
      </c>
      <c r="E29" s="168">
        <f aca="true" t="shared" si="3" ref="E29:Z29">E6+E7+E8+E9+E10+E11+E12+E13+E14+E15+E16+E17+E18+E19+E20+E21+E23+E24+E25+E22+E26+E28</f>
        <v>3364476.88</v>
      </c>
      <c r="F29" s="168">
        <f t="shared" si="3"/>
        <v>4177801.64</v>
      </c>
      <c r="G29" s="168">
        <f t="shared" si="3"/>
        <v>0</v>
      </c>
      <c r="H29" s="168">
        <f t="shared" si="3"/>
        <v>0</v>
      </c>
      <c r="I29" s="168">
        <f t="shared" si="3"/>
        <v>0</v>
      </c>
      <c r="J29" s="168">
        <f t="shared" si="3"/>
        <v>0</v>
      </c>
      <c r="K29" s="168">
        <f t="shared" si="3"/>
        <v>0</v>
      </c>
      <c r="L29" s="168">
        <f t="shared" si="3"/>
        <v>0</v>
      </c>
      <c r="M29" s="168">
        <f t="shared" si="3"/>
        <v>0</v>
      </c>
      <c r="N29" s="168">
        <f t="shared" si="3"/>
        <v>0</v>
      </c>
      <c r="O29" s="168">
        <f t="shared" si="3"/>
        <v>0</v>
      </c>
      <c r="P29" s="168">
        <f t="shared" si="3"/>
        <v>8833854.52</v>
      </c>
      <c r="Q29" s="168">
        <f t="shared" si="3"/>
        <v>151958.47513120002</v>
      </c>
      <c r="R29" s="168">
        <f t="shared" si="3"/>
        <v>4709936</v>
      </c>
      <c r="S29" s="168">
        <f t="shared" si="3"/>
        <v>3836081.9999999995</v>
      </c>
      <c r="T29" s="168">
        <f t="shared" si="3"/>
        <v>3775188.9999999995</v>
      </c>
      <c r="U29" s="168">
        <f t="shared" si="3"/>
        <v>3995132</v>
      </c>
      <c r="V29" s="168">
        <f t="shared" si="3"/>
        <v>4353702</v>
      </c>
      <c r="W29" s="168">
        <f t="shared" si="3"/>
        <v>4568873.999999999</v>
      </c>
      <c r="X29" s="168">
        <f t="shared" si="3"/>
        <v>4692023</v>
      </c>
      <c r="Y29" s="168">
        <f t="shared" si="3"/>
        <v>4551709</v>
      </c>
      <c r="Z29" s="168">
        <f t="shared" si="3"/>
        <v>4938931</v>
      </c>
      <c r="AA29" s="590">
        <f t="shared" si="1"/>
        <v>48255432.519999996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  <c r="HX29" s="166"/>
      <c r="HY29" s="166"/>
      <c r="HZ29" s="166"/>
      <c r="IA29" s="166"/>
      <c r="IB29" s="166"/>
      <c r="IC29" s="166"/>
      <c r="ID29" s="166"/>
      <c r="IE29" s="166"/>
      <c r="IF29" s="166"/>
      <c r="IG29" s="166"/>
      <c r="IH29" s="166"/>
    </row>
    <row r="30" spans="1:27" s="121" customFormat="1" ht="16.5" customHeight="1" thickBot="1">
      <c r="A30" s="131">
        <v>20</v>
      </c>
      <c r="B30" s="170" t="s">
        <v>64</v>
      </c>
      <c r="C30" s="113" t="s">
        <v>70</v>
      </c>
      <c r="D30" s="134">
        <v>7020</v>
      </c>
      <c r="E30" s="134">
        <v>7856</v>
      </c>
      <c r="F30" s="135">
        <v>5658</v>
      </c>
      <c r="G30" s="136"/>
      <c r="H30" s="171"/>
      <c r="I30" s="134"/>
      <c r="J30" s="137"/>
      <c r="K30" s="134"/>
      <c r="L30" s="137"/>
      <c r="M30" s="134"/>
      <c r="N30" s="172"/>
      <c r="O30" s="173"/>
      <c r="P30" s="168">
        <f>P7+P8+P9+P10+P11+P12+P13+P14+P15+P16+P17+P18+P19+P20+P21+P22+P24+P25+P26+P23+P29</f>
        <v>17665948.04</v>
      </c>
      <c r="Q30" s="120">
        <f>P30*0.155*1.18</f>
        <v>3231101.8965159995</v>
      </c>
      <c r="R30" s="121">
        <v>3976</v>
      </c>
      <c r="S30" s="121">
        <v>899</v>
      </c>
      <c r="T30" s="121">
        <v>1458</v>
      </c>
      <c r="U30" s="121">
        <v>1778</v>
      </c>
      <c r="V30" s="121">
        <v>514</v>
      </c>
      <c r="W30" s="121">
        <v>529</v>
      </c>
      <c r="X30" s="121">
        <v>972</v>
      </c>
      <c r="Y30" s="121">
        <v>950</v>
      </c>
      <c r="Z30" s="121">
        <v>1459</v>
      </c>
      <c r="AA30" s="584">
        <f t="shared" si="1"/>
        <v>33069</v>
      </c>
    </row>
    <row r="31" spans="1:27" s="121" customFormat="1" ht="15" customHeight="1" thickBot="1">
      <c r="A31" s="133">
        <v>21</v>
      </c>
      <c r="B31" s="174" t="s">
        <v>65</v>
      </c>
      <c r="C31" s="113" t="s">
        <v>70</v>
      </c>
      <c r="D31" s="134">
        <v>6210</v>
      </c>
      <c r="E31" s="134">
        <v>6690</v>
      </c>
      <c r="F31" s="135">
        <v>5610</v>
      </c>
      <c r="G31" s="136"/>
      <c r="H31" s="171"/>
      <c r="I31" s="134"/>
      <c r="J31" s="137"/>
      <c r="K31" s="134"/>
      <c r="L31" s="137"/>
      <c r="M31" s="134"/>
      <c r="N31" s="137"/>
      <c r="O31" s="173"/>
      <c r="P31" s="168">
        <f>P8+P9+P10+P11+P12+P13+P14+P15+P16+P17+P18+P19+P20+P21+P22+P23+P25+P26+P29+P24+P30</f>
        <v>35318646.08</v>
      </c>
      <c r="Q31" s="120">
        <f>P31*0.155*1.18</f>
        <v>6459780.368031999</v>
      </c>
      <c r="R31" s="121">
        <v>6150</v>
      </c>
      <c r="S31" s="121">
        <v>4980</v>
      </c>
      <c r="T31" s="121">
        <v>4770</v>
      </c>
      <c r="U31" s="121">
        <v>4440</v>
      </c>
      <c r="V31" s="121">
        <v>4890</v>
      </c>
      <c r="W31" s="121">
        <v>4410</v>
      </c>
      <c r="X31" s="121">
        <v>4770</v>
      </c>
      <c r="Y31" s="121">
        <v>4440</v>
      </c>
      <c r="Z31" s="121">
        <v>4950</v>
      </c>
      <c r="AA31" s="584">
        <f t="shared" si="1"/>
        <v>62310</v>
      </c>
    </row>
    <row r="32" spans="1:27" s="121" customFormat="1" ht="15.75" customHeight="1" thickBot="1">
      <c r="A32" s="175"/>
      <c r="B32" s="185"/>
      <c r="C32" s="185"/>
      <c r="D32" s="169">
        <f>D30+D31</f>
        <v>13230</v>
      </c>
      <c r="E32" s="169">
        <f>E30+E31</f>
        <v>14546</v>
      </c>
      <c r="F32" s="169">
        <f>F30+F31</f>
        <v>11268</v>
      </c>
      <c r="G32" s="169">
        <f aca="true" t="shared" si="4" ref="G32:O32">+G30+G31</f>
        <v>0</v>
      </c>
      <c r="H32" s="169">
        <f t="shared" si="4"/>
        <v>0</v>
      </c>
      <c r="I32" s="169">
        <f t="shared" si="4"/>
        <v>0</v>
      </c>
      <c r="J32" s="169">
        <f t="shared" si="4"/>
        <v>0</v>
      </c>
      <c r="K32" s="169">
        <f t="shared" si="4"/>
        <v>0</v>
      </c>
      <c r="L32" s="169">
        <f t="shared" si="4"/>
        <v>0</v>
      </c>
      <c r="M32" s="169">
        <f t="shared" si="4"/>
        <v>0</v>
      </c>
      <c r="N32" s="169">
        <f t="shared" si="4"/>
        <v>0</v>
      </c>
      <c r="O32" s="169">
        <f t="shared" si="4"/>
        <v>0</v>
      </c>
      <c r="P32" s="186">
        <f>P9+P10+P11+P12+P13+P14+P15+P16+P17+P18+P19+P20+P21+P22+P23+P24+P26+P29+P30+P25+P31</f>
        <v>70624271.16</v>
      </c>
      <c r="Q32" s="186">
        <f>Q9+Q10+Q11+Q12+Q13+Q14+Q15+Q16+Q17+Q18+Q19+Q20+Q21+Q22+Q23+Q24+Q26+Q29+Q30+Q25+Q31</f>
        <v>9989672.162010398</v>
      </c>
      <c r="R32" s="169">
        <f aca="true" t="shared" si="5" ref="R32:AA32">R30+R31</f>
        <v>10126</v>
      </c>
      <c r="S32" s="169">
        <f t="shared" si="5"/>
        <v>5879</v>
      </c>
      <c r="T32" s="169">
        <f t="shared" si="5"/>
        <v>6228</v>
      </c>
      <c r="U32" s="169">
        <f t="shared" si="5"/>
        <v>6218</v>
      </c>
      <c r="V32" s="169">
        <f t="shared" si="5"/>
        <v>5404</v>
      </c>
      <c r="W32" s="169">
        <f t="shared" si="5"/>
        <v>4939</v>
      </c>
      <c r="X32" s="169">
        <f t="shared" si="5"/>
        <v>5742</v>
      </c>
      <c r="Y32" s="169">
        <f t="shared" si="5"/>
        <v>5390</v>
      </c>
      <c r="Z32" s="169">
        <f t="shared" si="5"/>
        <v>6409</v>
      </c>
      <c r="AA32" s="585">
        <f t="shared" si="5"/>
        <v>95379</v>
      </c>
    </row>
    <row r="33" spans="1:21" ht="56.25" customHeight="1" thickBot="1">
      <c r="A33" s="184"/>
      <c r="B33" s="834" t="s">
        <v>184</v>
      </c>
      <c r="C33" s="835"/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835"/>
      <c r="P33" s="835"/>
      <c r="Q33" s="836"/>
      <c r="R33" s="836"/>
      <c r="S33" s="836"/>
      <c r="T33" s="836"/>
      <c r="U33" s="836"/>
    </row>
    <row r="34" spans="1:27" ht="17.25" customHeight="1" thickBot="1">
      <c r="A34" s="57">
        <v>22</v>
      </c>
      <c r="B34" s="106" t="s">
        <v>74</v>
      </c>
      <c r="C34" s="194" t="s">
        <v>72</v>
      </c>
      <c r="D34" s="195">
        <v>0</v>
      </c>
      <c r="E34" s="196">
        <v>0</v>
      </c>
      <c r="F34" s="195">
        <v>0</v>
      </c>
      <c r="G34" s="195"/>
      <c r="H34" s="195"/>
      <c r="I34" s="195"/>
      <c r="J34" s="196"/>
      <c r="K34" s="196"/>
      <c r="L34" s="197"/>
      <c r="M34" s="196"/>
      <c r="N34" s="196"/>
      <c r="O34" s="196"/>
      <c r="P34" s="198">
        <f aca="true" t="shared" si="6" ref="P34:P47">O34+N34+M34+L34+K34+J34+I34+H34+G34+F34+E34+D34</f>
        <v>0</v>
      </c>
      <c r="Q34" s="31"/>
      <c r="R34" s="575">
        <v>0</v>
      </c>
      <c r="S34" s="575">
        <v>0</v>
      </c>
      <c r="T34" s="575">
        <v>0</v>
      </c>
      <c r="U34" s="575">
        <v>2029</v>
      </c>
      <c r="V34" s="575">
        <v>0</v>
      </c>
      <c r="W34" s="575">
        <v>0</v>
      </c>
      <c r="X34" s="575">
        <v>1830</v>
      </c>
      <c r="Y34" s="575">
        <v>0</v>
      </c>
      <c r="Z34" s="575">
        <v>0</v>
      </c>
      <c r="AA34" s="576">
        <f aca="true" t="shared" si="7" ref="AA34:AA48">SUM(D34+E34+F34+R34+S34+T34+U34+V34+W34+X34+Y34+Z34)</f>
        <v>3859</v>
      </c>
    </row>
    <row r="35" spans="1:27" ht="15.75" customHeight="1" thickBot="1">
      <c r="A35" s="57">
        <v>23</v>
      </c>
      <c r="B35" s="187" t="s">
        <v>66</v>
      </c>
      <c r="C35" s="188" t="s">
        <v>72</v>
      </c>
      <c r="D35" s="189">
        <v>0</v>
      </c>
      <c r="E35" s="190">
        <v>0</v>
      </c>
      <c r="F35" s="191">
        <v>0</v>
      </c>
      <c r="G35" s="191"/>
      <c r="H35" s="191"/>
      <c r="I35" s="191"/>
      <c r="J35" s="190"/>
      <c r="K35" s="192"/>
      <c r="L35" s="193"/>
      <c r="M35" s="190"/>
      <c r="N35" s="190"/>
      <c r="O35" s="190"/>
      <c r="P35" s="189">
        <f t="shared" si="6"/>
        <v>0</v>
      </c>
      <c r="Q35" s="31">
        <f>P35*0.155*1.18</f>
        <v>0</v>
      </c>
      <c r="R35" s="575">
        <v>0</v>
      </c>
      <c r="S35" s="575">
        <v>0</v>
      </c>
      <c r="T35" s="575">
        <v>0</v>
      </c>
      <c r="U35" s="575">
        <v>1000</v>
      </c>
      <c r="V35" s="575">
        <v>0</v>
      </c>
      <c r="W35" s="575">
        <v>0</v>
      </c>
      <c r="X35" s="575">
        <v>368</v>
      </c>
      <c r="Y35" s="575">
        <v>0</v>
      </c>
      <c r="Z35" s="575">
        <v>0</v>
      </c>
      <c r="AA35" s="576">
        <f t="shared" si="7"/>
        <v>1368</v>
      </c>
    </row>
    <row r="36" spans="1:27" ht="18.75" customHeight="1" thickBot="1">
      <c r="A36" s="57">
        <v>24</v>
      </c>
      <c r="B36" s="72" t="s">
        <v>41</v>
      </c>
      <c r="C36" s="105" t="s">
        <v>72</v>
      </c>
      <c r="D36" s="99">
        <v>3906</v>
      </c>
      <c r="E36" s="102">
        <f>'[1]Февраль 09'!$Q$74</f>
        <v>3906</v>
      </c>
      <c r="F36" s="103">
        <v>11061</v>
      </c>
      <c r="G36" s="103"/>
      <c r="H36" s="103"/>
      <c r="I36" s="103"/>
      <c r="J36" s="102"/>
      <c r="K36" s="101"/>
      <c r="L36" s="104"/>
      <c r="M36" s="102"/>
      <c r="N36" s="102"/>
      <c r="O36" s="102"/>
      <c r="P36" s="99">
        <f t="shared" si="6"/>
        <v>18873</v>
      </c>
      <c r="Q36" s="31">
        <f>P36*0.155*1.18</f>
        <v>3451.8716999999997</v>
      </c>
      <c r="R36" s="575">
        <v>8850</v>
      </c>
      <c r="S36" s="575">
        <v>2621</v>
      </c>
      <c r="T36" s="575">
        <v>5186</v>
      </c>
      <c r="U36" s="575">
        <v>3073</v>
      </c>
      <c r="V36" s="575">
        <v>3008</v>
      </c>
      <c r="W36" s="575">
        <v>6363</v>
      </c>
      <c r="X36" s="575">
        <v>4943</v>
      </c>
      <c r="Y36" s="575">
        <v>5578</v>
      </c>
      <c r="Z36" s="575">
        <v>10734</v>
      </c>
      <c r="AA36" s="576">
        <f t="shared" si="7"/>
        <v>69229</v>
      </c>
    </row>
    <row r="37" spans="1:27" ht="16.5" customHeight="1" thickBot="1">
      <c r="A37" s="57">
        <v>25</v>
      </c>
      <c r="B37" s="25" t="s">
        <v>67</v>
      </c>
      <c r="C37" s="105" t="s">
        <v>72</v>
      </c>
      <c r="D37" s="99">
        <v>0</v>
      </c>
      <c r="E37" s="102">
        <v>0</v>
      </c>
      <c r="F37" s="102">
        <v>0</v>
      </c>
      <c r="G37" s="103"/>
      <c r="H37" s="103"/>
      <c r="I37" s="103"/>
      <c r="J37" s="102"/>
      <c r="K37" s="101"/>
      <c r="L37" s="104"/>
      <c r="M37" s="102"/>
      <c r="N37" s="102"/>
      <c r="O37" s="102"/>
      <c r="P37" s="99">
        <f t="shared" si="6"/>
        <v>0</v>
      </c>
      <c r="Q37" s="31"/>
      <c r="R37" s="575">
        <v>0</v>
      </c>
      <c r="S37" s="575">
        <v>0</v>
      </c>
      <c r="T37" s="575">
        <v>0</v>
      </c>
      <c r="U37" s="575">
        <v>0</v>
      </c>
      <c r="V37" s="575">
        <v>0</v>
      </c>
      <c r="W37" s="575">
        <v>0</v>
      </c>
      <c r="X37" s="575">
        <v>0</v>
      </c>
      <c r="Y37" s="575">
        <v>0</v>
      </c>
      <c r="Z37" s="575">
        <v>0</v>
      </c>
      <c r="AA37" s="576">
        <f t="shared" si="7"/>
        <v>0</v>
      </c>
    </row>
    <row r="38" spans="1:27" ht="17.25" customHeight="1" thickBot="1">
      <c r="A38" s="57">
        <v>26</v>
      </c>
      <c r="B38" s="72" t="s">
        <v>68</v>
      </c>
      <c r="C38" s="105" t="s">
        <v>72</v>
      </c>
      <c r="D38" s="99">
        <v>131.733</v>
      </c>
      <c r="E38" s="102">
        <v>293</v>
      </c>
      <c r="F38" s="103">
        <v>145</v>
      </c>
      <c r="G38" s="103"/>
      <c r="H38" s="103"/>
      <c r="I38" s="103"/>
      <c r="J38" s="102"/>
      <c r="K38" s="101"/>
      <c r="L38" s="104"/>
      <c r="M38" s="102"/>
      <c r="N38" s="102"/>
      <c r="O38" s="102"/>
      <c r="P38" s="99">
        <f t="shared" si="6"/>
        <v>569.733</v>
      </c>
      <c r="Q38" s="31"/>
      <c r="R38" s="575">
        <v>107</v>
      </c>
      <c r="S38" s="575">
        <v>57</v>
      </c>
      <c r="T38" s="575">
        <v>75</v>
      </c>
      <c r="U38" s="575">
        <v>105</v>
      </c>
      <c r="V38" s="575">
        <v>102</v>
      </c>
      <c r="W38" s="575">
        <v>81</v>
      </c>
      <c r="X38" s="575">
        <v>92</v>
      </c>
      <c r="Y38" s="575">
        <v>199</v>
      </c>
      <c r="Z38" s="575">
        <v>231</v>
      </c>
      <c r="AA38" s="576">
        <f t="shared" si="7"/>
        <v>1618.733</v>
      </c>
    </row>
    <row r="39" spans="1:27" ht="16.5" customHeight="1" thickBot="1">
      <c r="A39" s="57">
        <v>27</v>
      </c>
      <c r="B39" s="25" t="s">
        <v>43</v>
      </c>
      <c r="C39" s="105" t="s">
        <v>72</v>
      </c>
      <c r="D39" s="99">
        <v>0</v>
      </c>
      <c r="E39" s="101">
        <v>0</v>
      </c>
      <c r="F39" s="99">
        <v>0</v>
      </c>
      <c r="G39" s="99"/>
      <c r="H39" s="99"/>
      <c r="I39" s="99"/>
      <c r="J39" s="101"/>
      <c r="K39" s="101"/>
      <c r="L39" s="100"/>
      <c r="M39" s="101"/>
      <c r="N39" s="101"/>
      <c r="O39" s="101"/>
      <c r="P39" s="99">
        <f t="shared" si="6"/>
        <v>0</v>
      </c>
      <c r="Q39" s="31">
        <f>P39*0.155*1.18</f>
        <v>0</v>
      </c>
      <c r="R39" s="575"/>
      <c r="S39" s="575">
        <v>0</v>
      </c>
      <c r="T39" s="575">
        <v>0</v>
      </c>
      <c r="U39" s="575">
        <v>1696</v>
      </c>
      <c r="V39" s="575">
        <v>0</v>
      </c>
      <c r="W39" s="575">
        <v>0</v>
      </c>
      <c r="X39" s="575">
        <v>3374</v>
      </c>
      <c r="Y39" s="575">
        <v>0</v>
      </c>
      <c r="Z39" s="575">
        <v>0</v>
      </c>
      <c r="AA39" s="576">
        <f t="shared" si="7"/>
        <v>5070</v>
      </c>
    </row>
    <row r="40" spans="1:27" ht="16.5" customHeight="1" thickBot="1">
      <c r="A40" s="57"/>
      <c r="B40" s="72" t="s">
        <v>183</v>
      </c>
      <c r="C40" s="105" t="s">
        <v>72</v>
      </c>
      <c r="D40" s="103"/>
      <c r="E40" s="102"/>
      <c r="F40" s="103"/>
      <c r="G40" s="103"/>
      <c r="H40" s="103"/>
      <c r="I40" s="103"/>
      <c r="J40" s="102"/>
      <c r="K40" s="102"/>
      <c r="L40" s="104"/>
      <c r="M40" s="102"/>
      <c r="N40" s="102"/>
      <c r="O40" s="102"/>
      <c r="P40" s="99"/>
      <c r="Q40" s="31"/>
      <c r="R40" s="575"/>
      <c r="S40" s="575"/>
      <c r="T40" s="575"/>
      <c r="U40" s="575"/>
      <c r="V40" s="575"/>
      <c r="W40" s="575"/>
      <c r="X40" s="575">
        <v>1801</v>
      </c>
      <c r="Y40" s="575">
        <v>721</v>
      </c>
      <c r="Z40" s="575">
        <v>925</v>
      </c>
      <c r="AA40" s="576">
        <f t="shared" si="7"/>
        <v>3447</v>
      </c>
    </row>
    <row r="41" spans="1:27" ht="13.5" customHeight="1" thickBot="1">
      <c r="A41" s="57">
        <v>28</v>
      </c>
      <c r="B41" s="72" t="s">
        <v>77</v>
      </c>
      <c r="C41" s="105" t="s">
        <v>72</v>
      </c>
      <c r="D41" s="103">
        <v>4598</v>
      </c>
      <c r="E41" s="102">
        <f>'[1]Февраль 09'!$Q$59</f>
        <v>5079</v>
      </c>
      <c r="F41" s="103">
        <v>3985</v>
      </c>
      <c r="G41" s="103"/>
      <c r="H41" s="103"/>
      <c r="I41" s="103"/>
      <c r="J41" s="102"/>
      <c r="K41" s="102"/>
      <c r="L41" s="104"/>
      <c r="M41" s="102"/>
      <c r="N41" s="102"/>
      <c r="O41" s="102"/>
      <c r="P41" s="99">
        <f t="shared" si="6"/>
        <v>13662</v>
      </c>
      <c r="Q41" s="31"/>
      <c r="R41" s="575">
        <v>4291</v>
      </c>
      <c r="S41" s="575">
        <v>4094</v>
      </c>
      <c r="T41" s="575">
        <v>3744</v>
      </c>
      <c r="U41" s="575">
        <v>3875</v>
      </c>
      <c r="V41" s="575">
        <v>1598</v>
      </c>
      <c r="W41" s="575">
        <v>3262</v>
      </c>
      <c r="X41" s="575">
        <v>4050</v>
      </c>
      <c r="Y41" s="575">
        <v>4860</v>
      </c>
      <c r="Z41" s="575">
        <v>4510</v>
      </c>
      <c r="AA41" s="576">
        <f t="shared" si="7"/>
        <v>47946</v>
      </c>
    </row>
    <row r="42" spans="1:27" ht="12" customHeight="1" thickBot="1">
      <c r="A42" s="57">
        <v>29</v>
      </c>
      <c r="B42" s="72" t="s">
        <v>78</v>
      </c>
      <c r="C42" s="105" t="s">
        <v>72</v>
      </c>
      <c r="D42" s="103">
        <v>34.6494</v>
      </c>
      <c r="E42" s="102">
        <v>41</v>
      </c>
      <c r="F42" s="103">
        <v>46</v>
      </c>
      <c r="G42" s="103"/>
      <c r="H42" s="103"/>
      <c r="I42" s="103"/>
      <c r="J42" s="102"/>
      <c r="K42" s="102"/>
      <c r="L42" s="104"/>
      <c r="M42" s="102"/>
      <c r="N42" s="102"/>
      <c r="O42" s="102"/>
      <c r="P42" s="99">
        <f t="shared" si="6"/>
        <v>121.6494</v>
      </c>
      <c r="Q42" s="31"/>
      <c r="R42" s="575">
        <v>32</v>
      </c>
      <c r="S42" s="575">
        <v>0</v>
      </c>
      <c r="T42" s="575">
        <v>1006</v>
      </c>
      <c r="U42" s="575">
        <v>947</v>
      </c>
      <c r="V42" s="575">
        <v>426</v>
      </c>
      <c r="W42" s="575">
        <v>604</v>
      </c>
      <c r="X42" s="575">
        <v>938</v>
      </c>
      <c r="Y42" s="575">
        <v>1326</v>
      </c>
      <c r="Z42" s="575">
        <v>1891</v>
      </c>
      <c r="AA42" s="576">
        <f t="shared" si="7"/>
        <v>7291.6494</v>
      </c>
    </row>
    <row r="43" spans="1:27" ht="16.5" customHeight="1" thickBot="1">
      <c r="A43" s="57">
        <v>30</v>
      </c>
      <c r="B43" s="72" t="s">
        <v>57</v>
      </c>
      <c r="C43" s="105" t="s">
        <v>72</v>
      </c>
      <c r="D43" s="103">
        <v>1891</v>
      </c>
      <c r="E43" s="102">
        <f>'[1]Февраль 09'!$Q$64</f>
        <v>2012</v>
      </c>
      <c r="F43" s="103">
        <v>1529</v>
      </c>
      <c r="G43" s="103"/>
      <c r="H43" s="103"/>
      <c r="I43" s="103"/>
      <c r="J43" s="102"/>
      <c r="K43" s="102"/>
      <c r="L43" s="104"/>
      <c r="M43" s="102"/>
      <c r="N43" s="102"/>
      <c r="O43" s="102"/>
      <c r="P43" s="99">
        <f t="shared" si="6"/>
        <v>5432</v>
      </c>
      <c r="Q43" s="31"/>
      <c r="R43" s="575">
        <v>905</v>
      </c>
      <c r="S43" s="575">
        <v>604</v>
      </c>
      <c r="T43" s="575">
        <v>463</v>
      </c>
      <c r="U43" s="575">
        <v>483</v>
      </c>
      <c r="V43" s="575">
        <v>302</v>
      </c>
      <c r="W43" s="575">
        <v>282</v>
      </c>
      <c r="X43" s="575">
        <v>322</v>
      </c>
      <c r="Y43" s="575">
        <v>644</v>
      </c>
      <c r="Z43" s="575">
        <v>463</v>
      </c>
      <c r="AA43" s="576">
        <f t="shared" si="7"/>
        <v>9900</v>
      </c>
    </row>
    <row r="44" spans="1:27" ht="16.5" customHeight="1" thickBot="1">
      <c r="A44" s="57">
        <v>31</v>
      </c>
      <c r="B44" s="72" t="s">
        <v>58</v>
      </c>
      <c r="C44" s="105" t="s">
        <v>72</v>
      </c>
      <c r="D44" s="103">
        <f>256+259</f>
        <v>515</v>
      </c>
      <c r="E44" s="102">
        <f>'[1]Февраль 09'!$Q$65+'[1]Февраль 09'!$Q$66</f>
        <v>446</v>
      </c>
      <c r="F44" s="103">
        <v>223</v>
      </c>
      <c r="G44" s="103"/>
      <c r="H44" s="103"/>
      <c r="I44" s="103"/>
      <c r="J44" s="102"/>
      <c r="K44" s="102"/>
      <c r="L44" s="104"/>
      <c r="M44" s="102"/>
      <c r="N44" s="102"/>
      <c r="O44" s="102"/>
      <c r="P44" s="99">
        <f t="shared" si="6"/>
        <v>1184</v>
      </c>
      <c r="Q44" s="31"/>
      <c r="R44" s="575">
        <v>193</v>
      </c>
      <c r="S44" s="575">
        <v>329</v>
      </c>
      <c r="T44" s="575">
        <v>345</v>
      </c>
      <c r="U44" s="575">
        <v>364</v>
      </c>
      <c r="V44" s="575">
        <v>316</v>
      </c>
      <c r="W44" s="575">
        <v>205</v>
      </c>
      <c r="X44" s="575">
        <v>305</v>
      </c>
      <c r="Y44" s="575">
        <v>174</v>
      </c>
      <c r="Z44" s="575">
        <v>241</v>
      </c>
      <c r="AA44" s="576">
        <f t="shared" si="7"/>
        <v>3656</v>
      </c>
    </row>
    <row r="45" spans="1:27" ht="16.5" customHeight="1" thickBot="1">
      <c r="A45" s="57">
        <v>32</v>
      </c>
      <c r="B45" s="72" t="s">
        <v>59</v>
      </c>
      <c r="C45" s="105" t="s">
        <v>72</v>
      </c>
      <c r="D45" s="103">
        <v>302</v>
      </c>
      <c r="E45" s="102">
        <f>'[1]Февраль 09'!$Q$67+'[1]Февраль 09'!$Q$68</f>
        <v>368</v>
      </c>
      <c r="F45" s="103">
        <v>301</v>
      </c>
      <c r="G45" s="103"/>
      <c r="H45" s="103"/>
      <c r="I45" s="103"/>
      <c r="J45" s="102"/>
      <c r="K45" s="102"/>
      <c r="L45" s="104"/>
      <c r="M45" s="102"/>
      <c r="N45" s="102"/>
      <c r="O45" s="102"/>
      <c r="P45" s="99">
        <f t="shared" si="6"/>
        <v>971</v>
      </c>
      <c r="Q45" s="31"/>
      <c r="R45" s="575">
        <v>313</v>
      </c>
      <c r="S45" s="575">
        <v>306</v>
      </c>
      <c r="T45" s="575">
        <v>284</v>
      </c>
      <c r="U45" s="575">
        <v>250</v>
      </c>
      <c r="V45" s="575">
        <v>243</v>
      </c>
      <c r="W45" s="575">
        <v>239</v>
      </c>
      <c r="X45" s="575">
        <v>314</v>
      </c>
      <c r="Y45" s="575">
        <v>488</v>
      </c>
      <c r="Z45" s="575">
        <v>453</v>
      </c>
      <c r="AA45" s="576">
        <f t="shared" si="7"/>
        <v>3861</v>
      </c>
    </row>
    <row r="46" spans="1:27" ht="17.25" customHeight="1" thickBot="1">
      <c r="A46" s="57">
        <v>33</v>
      </c>
      <c r="B46" s="72" t="s">
        <v>60</v>
      </c>
      <c r="C46" s="105" t="s">
        <v>72</v>
      </c>
      <c r="D46" s="103">
        <f>1119+1230</f>
        <v>2349</v>
      </c>
      <c r="E46" s="102">
        <f>'[1]Февраль 09'!$Q$69+'[1]Февраль 09'!$Q$70</f>
        <v>3057</v>
      </c>
      <c r="F46" s="103">
        <v>1571</v>
      </c>
      <c r="G46" s="103"/>
      <c r="H46" s="103"/>
      <c r="I46" s="103"/>
      <c r="J46" s="102"/>
      <c r="K46" s="102"/>
      <c r="L46" s="104"/>
      <c r="M46" s="102"/>
      <c r="N46" s="102"/>
      <c r="O46" s="102"/>
      <c r="P46" s="99">
        <f t="shared" si="6"/>
        <v>6977</v>
      </c>
      <c r="Q46" s="31"/>
      <c r="R46" s="575">
        <v>1147</v>
      </c>
      <c r="S46" s="575">
        <v>599</v>
      </c>
      <c r="T46" s="575">
        <v>689</v>
      </c>
      <c r="U46" s="575">
        <v>735</v>
      </c>
      <c r="V46" s="575">
        <v>549</v>
      </c>
      <c r="W46" s="575">
        <v>564</v>
      </c>
      <c r="X46" s="575">
        <v>1072</v>
      </c>
      <c r="Y46" s="575">
        <v>1242</v>
      </c>
      <c r="Z46" s="575">
        <v>1844</v>
      </c>
      <c r="AA46" s="576">
        <f t="shared" si="7"/>
        <v>15418</v>
      </c>
    </row>
    <row r="47" spans="1:27" ht="18" customHeight="1" thickBot="1">
      <c r="A47" s="57">
        <v>34</v>
      </c>
      <c r="B47" s="72" t="s">
        <v>61</v>
      </c>
      <c r="C47" s="105" t="s">
        <v>72</v>
      </c>
      <c r="D47" s="103">
        <v>2165</v>
      </c>
      <c r="E47" s="102">
        <f>'[1]Февраль 09'!$Q$63</f>
        <v>2028</v>
      </c>
      <c r="F47" s="103">
        <v>1217</v>
      </c>
      <c r="G47" s="103"/>
      <c r="H47" s="103"/>
      <c r="I47" s="103"/>
      <c r="J47" s="102"/>
      <c r="K47" s="102"/>
      <c r="L47" s="104"/>
      <c r="M47" s="102"/>
      <c r="N47" s="102"/>
      <c r="O47" s="102"/>
      <c r="P47" s="99">
        <f t="shared" si="6"/>
        <v>5410</v>
      </c>
      <c r="Q47" s="31"/>
      <c r="R47" s="575">
        <v>1269</v>
      </c>
      <c r="S47" s="575">
        <v>1109</v>
      </c>
      <c r="T47" s="575">
        <v>776</v>
      </c>
      <c r="U47" s="575">
        <v>1189</v>
      </c>
      <c r="V47" s="575">
        <v>586</v>
      </c>
      <c r="W47" s="575">
        <v>860</v>
      </c>
      <c r="X47" s="575">
        <v>976</v>
      </c>
      <c r="Y47" s="575">
        <v>1473</v>
      </c>
      <c r="Z47" s="575">
        <v>1550</v>
      </c>
      <c r="AA47" s="576">
        <f t="shared" si="7"/>
        <v>15198</v>
      </c>
    </row>
    <row r="48" spans="1:27" ht="15" customHeight="1" thickBot="1">
      <c r="A48" s="57">
        <v>35</v>
      </c>
      <c r="B48" s="180" t="s">
        <v>62</v>
      </c>
      <c r="C48" s="106" t="s">
        <v>72</v>
      </c>
      <c r="D48" s="181">
        <v>416</v>
      </c>
      <c r="E48" s="102">
        <f>'[1]Февраль 09'!$Q$62</f>
        <v>363</v>
      </c>
      <c r="F48" s="103">
        <v>316</v>
      </c>
      <c r="G48" s="103"/>
      <c r="H48" s="103"/>
      <c r="I48" s="103"/>
      <c r="J48" s="102"/>
      <c r="K48" s="102"/>
      <c r="L48" s="104"/>
      <c r="M48" s="102"/>
      <c r="N48" s="102"/>
      <c r="O48" s="102"/>
      <c r="P48" s="103">
        <f>O48+N48+M48+L48+K48+J48+I48+H48+G48+F48+E48+D48</f>
        <v>1095</v>
      </c>
      <c r="Q48" s="87"/>
      <c r="R48" s="575">
        <v>286</v>
      </c>
      <c r="S48" s="575">
        <v>272</v>
      </c>
      <c r="T48" s="575">
        <v>268</v>
      </c>
      <c r="U48" s="575">
        <v>325</v>
      </c>
      <c r="V48" s="575">
        <v>293</v>
      </c>
      <c r="W48" s="575">
        <v>335</v>
      </c>
      <c r="X48" s="575">
        <v>282</v>
      </c>
      <c r="Y48" s="575">
        <v>347</v>
      </c>
      <c r="Z48" s="575">
        <v>284</v>
      </c>
      <c r="AA48" s="576">
        <f t="shared" si="7"/>
        <v>3787</v>
      </c>
    </row>
    <row r="49" spans="1:28" ht="12.75" customHeight="1" thickBot="1">
      <c r="A49" s="88"/>
      <c r="B49" s="10" t="s">
        <v>5</v>
      </c>
      <c r="C49" s="182"/>
      <c r="D49" s="13">
        <f aca="true" t="shared" si="8" ref="D49:R49">D34+D35+D36+D37+D38+D39+D41+D42+D43+D44+D45+D46+D47+D48</f>
        <v>16308.3824</v>
      </c>
      <c r="E49" s="6">
        <f t="shared" si="8"/>
        <v>17593</v>
      </c>
      <c r="F49" s="6">
        <f t="shared" si="8"/>
        <v>20394</v>
      </c>
      <c r="G49" s="6">
        <f t="shared" si="8"/>
        <v>0</v>
      </c>
      <c r="H49" s="6">
        <f t="shared" si="8"/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0</v>
      </c>
      <c r="N49" s="6">
        <f t="shared" si="8"/>
        <v>0</v>
      </c>
      <c r="O49" s="6">
        <f t="shared" si="8"/>
        <v>0</v>
      </c>
      <c r="P49" s="6">
        <f t="shared" si="8"/>
        <v>54295.3824</v>
      </c>
      <c r="Q49" s="6">
        <f t="shared" si="8"/>
        <v>3451.8716999999997</v>
      </c>
      <c r="R49" s="574">
        <f t="shared" si="8"/>
        <v>17393</v>
      </c>
      <c r="S49" s="574">
        <f>S34+S35+S36+S37+S38+S39+S41+S42+S43+S44+S45+S46+S47+S48</f>
        <v>9991</v>
      </c>
      <c r="T49" s="574">
        <f>T34+T35+T36+T37+T38+T39+T41+T42+T43+T44+T45+T46+T47+T48</f>
        <v>12836</v>
      </c>
      <c r="U49" s="574">
        <f>U34+U35+U36+U37+U38+U39+U41+U42+U43+U44+U45+U46+U47+U48</f>
        <v>16071</v>
      </c>
      <c r="V49" s="574">
        <f>V34+V35+V36+V37+V38+V39+V41+V42+V43+V44+V45+V46+V47+V48</f>
        <v>7423</v>
      </c>
      <c r="W49" s="574">
        <f>W34+W35+W36+W37+W38+W39+W41+W42+W43+W44+W45+W46+W47+W48</f>
        <v>12795</v>
      </c>
      <c r="X49" s="574">
        <f>X34+X35+X36+X37+X38+X39+X41+X42+X43+X44+X45+X46+X47+X48+X40</f>
        <v>20667</v>
      </c>
      <c r="Y49" s="574">
        <f>Y34+Y35+Y36+Y37+Y38+Y39+Y41+Y42+Y43+Y44+Y45+Y46+Y47+Y48+Y40</f>
        <v>17052</v>
      </c>
      <c r="Z49" s="574">
        <f>Z34+Z35+Z36+Z37+Z38+Z39+Z41+Z42+Z43+Z44+Z45+Z46+Z47+Z48+Z40</f>
        <v>23126</v>
      </c>
      <c r="AA49" s="577">
        <f>AA34+AA35+AA36+AA37+AA38+AA39+AA41+AA42+AA43+AA44+AA45+AA46+AA47+AA48</f>
        <v>188202.3824</v>
      </c>
      <c r="AB49" s="572"/>
    </row>
    <row r="50" spans="1:27" ht="15" customHeight="1" thickBot="1">
      <c r="A50" s="833"/>
      <c r="B50" s="830" t="s">
        <v>50</v>
      </c>
      <c r="C50" s="183"/>
      <c r="D50" s="15">
        <f>D49+D29+D32</f>
        <v>1321114.3824</v>
      </c>
      <c r="E50" s="12">
        <f>E49+E29+E32</f>
        <v>3396615.88</v>
      </c>
      <c r="F50" s="12">
        <f aca="true" t="shared" si="9" ref="F50:O50">F49+F29+F32</f>
        <v>4209463.640000001</v>
      </c>
      <c r="G50" s="12">
        <f t="shared" si="9"/>
        <v>0</v>
      </c>
      <c r="H50" s="15">
        <f t="shared" si="9"/>
        <v>0</v>
      </c>
      <c r="I50" s="14">
        <f t="shared" si="9"/>
        <v>0</v>
      </c>
      <c r="J50" s="15">
        <f t="shared" si="9"/>
        <v>0</v>
      </c>
      <c r="K50" s="12">
        <f t="shared" si="9"/>
        <v>0</v>
      </c>
      <c r="L50" s="15">
        <f t="shared" si="9"/>
        <v>0</v>
      </c>
      <c r="M50" s="12">
        <f t="shared" si="9"/>
        <v>0</v>
      </c>
      <c r="N50" s="15">
        <f t="shared" si="9"/>
        <v>0</v>
      </c>
      <c r="O50" s="12">
        <f t="shared" si="9"/>
        <v>0</v>
      </c>
      <c r="P50" s="12">
        <f>P49+P32+P29</f>
        <v>79512421.0624</v>
      </c>
      <c r="Q50" s="4"/>
      <c r="R50" s="12">
        <f>R49+R29+R32</f>
        <v>4737455</v>
      </c>
      <c r="S50" s="12">
        <f aca="true" t="shared" si="10" ref="S50:AA50">S49+S29+S32</f>
        <v>3851951.9999999995</v>
      </c>
      <c r="T50" s="12">
        <f t="shared" si="10"/>
        <v>3794252.9999999995</v>
      </c>
      <c r="U50" s="12">
        <f t="shared" si="10"/>
        <v>4017421</v>
      </c>
      <c r="V50" s="12">
        <f t="shared" si="10"/>
        <v>4366529</v>
      </c>
      <c r="W50" s="12">
        <f t="shared" si="10"/>
        <v>4586607.999999999</v>
      </c>
      <c r="X50" s="12">
        <f t="shared" si="10"/>
        <v>4718432</v>
      </c>
      <c r="Y50" s="12">
        <f t="shared" si="10"/>
        <v>4574151</v>
      </c>
      <c r="Z50" s="12">
        <f t="shared" si="10"/>
        <v>4968466</v>
      </c>
      <c r="AA50" s="578">
        <f t="shared" si="10"/>
        <v>48539013.902399994</v>
      </c>
    </row>
    <row r="51" spans="1:36" ht="6" customHeight="1">
      <c r="A51" s="831"/>
      <c r="B51" s="831"/>
      <c r="C51" s="91"/>
      <c r="D51" s="177">
        <f>D50-D25-D23-D21</f>
        <v>576296.3824</v>
      </c>
      <c r="E51" s="177">
        <f>E50-E25-E23-E21</f>
        <v>1153379.88</v>
      </c>
      <c r="F51" s="177">
        <f>F50-F25-F23-F21</f>
        <v>1247318.6400000006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93"/>
      <c r="S51" s="93"/>
      <c r="T51" s="93"/>
      <c r="U51" s="93"/>
      <c r="V51" s="94"/>
      <c r="W51" s="94"/>
      <c r="X51" s="94"/>
      <c r="Y51" s="94"/>
      <c r="Z51" s="94"/>
      <c r="AA51" s="579"/>
      <c r="AB51" s="94"/>
      <c r="AC51" s="32"/>
      <c r="AD51" s="32"/>
      <c r="AE51" s="32"/>
      <c r="AF51" s="32"/>
      <c r="AG51" s="32"/>
      <c r="AH51" s="32"/>
      <c r="AI51" s="32"/>
      <c r="AJ51" s="32"/>
    </row>
    <row r="52" spans="1:36" ht="3" customHeight="1" thickBot="1">
      <c r="A52" s="831"/>
      <c r="B52" s="831"/>
      <c r="C52" s="90"/>
      <c r="D52" s="177">
        <f>D51+3680</f>
        <v>579976.3824</v>
      </c>
      <c r="E52" s="177">
        <f>E51+4000</f>
        <v>1157379.88</v>
      </c>
      <c r="F52" s="177">
        <f>F51+1120</f>
        <v>1248438.6400000006</v>
      </c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6"/>
      <c r="R52" s="96"/>
      <c r="S52" s="96"/>
      <c r="T52" s="96"/>
      <c r="U52" s="96"/>
      <c r="V52" s="32"/>
      <c r="W52" s="32"/>
      <c r="X52" s="32"/>
      <c r="Y52" s="32"/>
      <c r="Z52" s="32"/>
      <c r="AA52" s="580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5" thickBot="1">
      <c r="A53" s="831"/>
      <c r="B53" s="831"/>
      <c r="C53" s="178" t="s">
        <v>71</v>
      </c>
      <c r="D53" s="109">
        <f>D10+D21+D22+D25</f>
        <v>930578</v>
      </c>
      <c r="E53" s="111">
        <f>E10+E21+E22+E25</f>
        <v>2486034.88</v>
      </c>
      <c r="F53" s="110">
        <f>F10+F21+F22+F25</f>
        <v>3201497.64</v>
      </c>
      <c r="G53" s="90"/>
      <c r="H53" s="90"/>
      <c r="I53" s="90"/>
      <c r="J53" s="90"/>
      <c r="K53" s="90"/>
      <c r="L53" s="90"/>
      <c r="M53" s="90"/>
      <c r="N53" s="90"/>
      <c r="O53" s="90"/>
      <c r="P53" s="110">
        <f>D53+E53+F53</f>
        <v>6618110.52</v>
      </c>
      <c r="Q53" s="110">
        <f>Q10+Q21+Q22+Q25+Q28</f>
        <v>68947.26095422982</v>
      </c>
      <c r="R53" s="110">
        <f aca="true" t="shared" si="11" ref="R53:Z53">R10+R21+R22+R25+R28</f>
        <v>3801532.7594638877</v>
      </c>
      <c r="S53" s="110">
        <f t="shared" si="11"/>
        <v>2799993.665965117</v>
      </c>
      <c r="T53" s="110">
        <f t="shared" si="11"/>
        <v>2774490.8170485003</v>
      </c>
      <c r="U53" s="110">
        <f t="shared" si="11"/>
        <v>3015010.441694479</v>
      </c>
      <c r="V53" s="110">
        <f t="shared" si="11"/>
        <v>3638188.7015161496</v>
      </c>
      <c r="W53" s="110">
        <f t="shared" si="11"/>
        <v>3608687.0961975916</v>
      </c>
      <c r="X53" s="110">
        <f t="shared" si="11"/>
        <v>3636246.8226681366</v>
      </c>
      <c r="Y53" s="110">
        <f t="shared" si="11"/>
        <v>3475643.5190026294</v>
      </c>
      <c r="Z53" s="110">
        <f t="shared" si="11"/>
        <v>3826948</v>
      </c>
      <c r="AA53" s="576">
        <f>SUM(D53+E53+F53+R53+S53+T53+U53+V53+W53+X53+Y53+Z53)</f>
        <v>37194852.34355649</v>
      </c>
      <c r="AB53" s="32"/>
      <c r="AC53" s="32"/>
      <c r="AD53" s="32"/>
      <c r="AE53" s="32"/>
      <c r="AF53" s="32"/>
      <c r="AG53" s="32"/>
      <c r="AH53" s="32"/>
      <c r="AI53" s="32"/>
      <c r="AJ53" s="32"/>
    </row>
    <row r="54" spans="1:36" ht="15" thickBot="1">
      <c r="A54" s="831"/>
      <c r="B54" s="831"/>
      <c r="C54" s="178" t="s">
        <v>70</v>
      </c>
      <c r="D54" s="107">
        <f>SUM(D30:D31,D24,D19:D20,D16:D17,D13,D11,D6:D9)</f>
        <v>366040</v>
      </c>
      <c r="E54" s="112">
        <f>SUM(E30:E31,E24,E19:E20,E16:E17,E13,E11,E6:E9)</f>
        <v>866505</v>
      </c>
      <c r="F54" s="108">
        <f>SUM(F30:F31,F24,F19:F20,F16:F17,F13,F11,F6:F9)</f>
        <v>947018</v>
      </c>
      <c r="G54" s="90"/>
      <c r="H54" s="90"/>
      <c r="I54" s="90"/>
      <c r="J54" s="90"/>
      <c r="K54" s="90"/>
      <c r="L54" s="90"/>
      <c r="M54" s="90"/>
      <c r="N54" s="90"/>
      <c r="O54" s="90"/>
      <c r="P54" s="110">
        <f>D54+E54+F54</f>
        <v>2179563</v>
      </c>
      <c r="Q54" s="108">
        <f>SUM(Q30:Q31,Q24,Q19:Q20,Q16:Q17,Q13,Q11,Q6:Q9)</f>
        <v>9769423.312347997</v>
      </c>
      <c r="R54" s="108">
        <f aca="true" t="shared" si="12" ref="R54:Z54">SUM(R30:R31,R24,R19:R20,R16:R17,R13,R11,R6:R9)</f>
        <v>884919</v>
      </c>
      <c r="S54" s="108">
        <f t="shared" si="12"/>
        <v>1015996</v>
      </c>
      <c r="T54" s="108">
        <f t="shared" si="12"/>
        <v>979010</v>
      </c>
      <c r="U54" s="108">
        <f t="shared" si="12"/>
        <v>961458</v>
      </c>
      <c r="V54" s="108">
        <f t="shared" si="12"/>
        <v>692859</v>
      </c>
      <c r="W54" s="108">
        <f t="shared" si="12"/>
        <v>935590</v>
      </c>
      <c r="X54" s="108">
        <f t="shared" si="12"/>
        <v>1028332</v>
      </c>
      <c r="Y54" s="108">
        <f t="shared" si="12"/>
        <v>1048544</v>
      </c>
      <c r="Z54" s="108">
        <f t="shared" si="12"/>
        <v>1085698</v>
      </c>
      <c r="AA54" s="576">
        <f>SUM(D54+E54+F54+R54+S54+T54+U54+V54+W54+X54+Y54+Z54)</f>
        <v>10811969</v>
      </c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ht="15" thickBot="1">
      <c r="A55" s="832"/>
      <c r="B55" s="832"/>
      <c r="C55" s="179" t="s">
        <v>72</v>
      </c>
      <c r="D55" s="109">
        <f>D50-D53-D54</f>
        <v>24496.382400000002</v>
      </c>
      <c r="E55" s="111">
        <f>E50-E53-E54</f>
        <v>44076</v>
      </c>
      <c r="F55" s="110">
        <f>F50-F53-F54</f>
        <v>60948.000000000466</v>
      </c>
      <c r="G55" s="90"/>
      <c r="H55" s="90"/>
      <c r="I55" s="90"/>
      <c r="J55" s="90"/>
      <c r="K55" s="90"/>
      <c r="L55" s="90"/>
      <c r="M55" s="90"/>
      <c r="N55" s="90"/>
      <c r="O55" s="90"/>
      <c r="P55" s="110">
        <f>D55+E55+F55</f>
        <v>129520.38240000047</v>
      </c>
      <c r="Q55" s="110">
        <f>Q50-Q53-Q54</f>
        <v>-9838370.573302226</v>
      </c>
      <c r="R55" s="110">
        <f aca="true" t="shared" si="13" ref="R55:Y55">R50-R53-R54</f>
        <v>51003.24053611234</v>
      </c>
      <c r="S55" s="110">
        <f t="shared" si="13"/>
        <v>35962.334034882486</v>
      </c>
      <c r="T55" s="110">
        <f t="shared" si="13"/>
        <v>40752.18295149924</v>
      </c>
      <c r="U55" s="110">
        <f t="shared" si="13"/>
        <v>40952.55830552103</v>
      </c>
      <c r="V55" s="110">
        <f t="shared" si="13"/>
        <v>35481.298483850434</v>
      </c>
      <c r="W55" s="110">
        <f t="shared" si="13"/>
        <v>42330.90380240744</v>
      </c>
      <c r="X55" s="110">
        <f t="shared" si="13"/>
        <v>53853.17733186344</v>
      </c>
      <c r="Y55" s="110">
        <f t="shared" si="13"/>
        <v>49963.480997370556</v>
      </c>
      <c r="Z55" s="110">
        <f>Z50-Z53-Z54</f>
        <v>55820</v>
      </c>
      <c r="AA55" s="576">
        <f>SUM(D55+E55+F55+R55+S55+T55+U55+V55+W55+X55+Y55+Z55)</f>
        <v>535639.5588435074</v>
      </c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6" ht="12.75">
      <c r="A56" s="90"/>
      <c r="B56" s="90"/>
      <c r="C56" s="90"/>
      <c r="D56" s="9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36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1:36" ht="12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1:36" ht="12.75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1:36" ht="12.75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1:36" ht="12.75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1:36" ht="12.75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1:36" ht="1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1:36" ht="12.75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ht="12.75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ht="12.75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1:16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</row>
    <row r="70" spans="1:16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</row>
    <row r="72" spans="1:16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</row>
    <row r="73" spans="1:16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</row>
    <row r="74" spans="1:16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</row>
    <row r="76" spans="1:16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</row>
    <row r="77" spans="1:16" ht="12.7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1:16" ht="12.7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</row>
    <row r="79" spans="1:16" ht="12.7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2.75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12.75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</row>
  </sheetData>
  <sheetProtection/>
  <mergeCells count="13">
    <mergeCell ref="B50:B55"/>
    <mergeCell ref="A50:A55"/>
    <mergeCell ref="B5:P5"/>
    <mergeCell ref="B25:B26"/>
    <mergeCell ref="A22:A23"/>
    <mergeCell ref="B22:B23"/>
    <mergeCell ref="B33:U33"/>
    <mergeCell ref="A1:P1"/>
    <mergeCell ref="A2:P2"/>
    <mergeCell ref="C3:C4"/>
    <mergeCell ref="A25:A26"/>
    <mergeCell ref="A3:A4"/>
    <mergeCell ref="B3:B4"/>
  </mergeCells>
  <printOptions/>
  <pageMargins left="0.5118110236220472" right="0" top="0" bottom="0" header="0.5118110236220472" footer="0.5118110236220472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W83"/>
  <sheetViews>
    <sheetView zoomScalePageLayoutView="0" workbookViewId="0" topLeftCell="A1">
      <pane xSplit="3" ySplit="5" topLeftCell="D2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41" sqref="B41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75390625" style="17" customWidth="1"/>
    <col min="4" max="4" width="12.625" style="17" customWidth="1"/>
    <col min="5" max="5" width="12.75390625" style="17" customWidth="1"/>
    <col min="6" max="6" width="13.25390625" style="17" customWidth="1"/>
    <col min="7" max="7" width="15.125" style="17" customWidth="1"/>
    <col min="8" max="9" width="12.875" style="17" customWidth="1"/>
    <col min="10" max="10" width="12.625" style="17" customWidth="1"/>
    <col min="11" max="11" width="13.25390625" style="17" customWidth="1"/>
    <col min="12" max="12" width="13.00390625" style="17" customWidth="1"/>
    <col min="13" max="13" width="13.2539062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7" width="11.625" style="691" customWidth="1"/>
    <col min="18" max="16384" width="9.125" style="17" customWidth="1"/>
  </cols>
  <sheetData>
    <row r="1" spans="1:6" ht="35.25" customHeight="1">
      <c r="A1" s="824"/>
      <c r="B1" s="825"/>
      <c r="C1" s="825"/>
      <c r="D1" s="825"/>
      <c r="E1" s="825"/>
      <c r="F1" s="825"/>
    </row>
    <row r="2" spans="1:6" ht="48.75" customHeight="1" thickBot="1">
      <c r="A2" s="826" t="s">
        <v>185</v>
      </c>
      <c r="B2" s="827"/>
      <c r="C2" s="827"/>
      <c r="D2" s="827"/>
      <c r="E2" s="827"/>
      <c r="F2" s="827"/>
    </row>
    <row r="3" spans="1:17" ht="20.25" customHeight="1" thickBot="1">
      <c r="A3" s="822" t="s">
        <v>0</v>
      </c>
      <c r="B3" s="822" t="s">
        <v>1</v>
      </c>
      <c r="C3" s="822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2010</v>
      </c>
      <c r="Q3" s="691" t="s">
        <v>192</v>
      </c>
    </row>
    <row r="4" spans="1:16" ht="24" customHeight="1" thickBot="1">
      <c r="A4" s="823"/>
      <c r="B4" s="823"/>
      <c r="C4" s="823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796"/>
      <c r="C5" s="797"/>
      <c r="D5" s="797"/>
      <c r="E5" s="797"/>
      <c r="F5" s="797"/>
      <c r="P5" s="657"/>
    </row>
    <row r="6" spans="1:17" s="121" customFormat="1" ht="15" customHeight="1">
      <c r="A6" s="113">
        <v>1</v>
      </c>
      <c r="B6" s="595" t="s">
        <v>69</v>
      </c>
      <c r="C6" s="596" t="s">
        <v>70</v>
      </c>
      <c r="D6" s="627">
        <v>796</v>
      </c>
      <c r="E6" s="144">
        <v>818</v>
      </c>
      <c r="F6" s="141">
        <v>563</v>
      </c>
      <c r="G6" s="144">
        <v>387</v>
      </c>
      <c r="H6" s="643">
        <v>105</v>
      </c>
      <c r="I6" s="144">
        <v>84</v>
      </c>
      <c r="J6" s="643">
        <v>67</v>
      </c>
      <c r="K6" s="144">
        <v>83</v>
      </c>
      <c r="L6" s="643">
        <v>163</v>
      </c>
      <c r="M6" s="144">
        <v>369</v>
      </c>
      <c r="N6" s="643">
        <v>425</v>
      </c>
      <c r="O6" s="649">
        <v>997</v>
      </c>
      <c r="P6" s="656">
        <f>SUM(D6+E6+F6+G6+H6+I6+J6+K6+L6+M6+N6+O6)</f>
        <v>4857</v>
      </c>
      <c r="Q6" s="693">
        <f>P6*Q$52/P$52</f>
        <v>0.008924280757541899</v>
      </c>
    </row>
    <row r="7" spans="1:17" s="121" customFormat="1" ht="12" customHeight="1">
      <c r="A7" s="113">
        <v>2</v>
      </c>
      <c r="B7" s="595" t="s">
        <v>32</v>
      </c>
      <c r="C7" s="596" t="s">
        <v>70</v>
      </c>
      <c r="D7" s="628">
        <v>4100</v>
      </c>
      <c r="E7" s="119">
        <v>4550</v>
      </c>
      <c r="F7" s="118">
        <v>3900</v>
      </c>
      <c r="G7" s="119">
        <v>4350</v>
      </c>
      <c r="H7" s="644">
        <v>3200</v>
      </c>
      <c r="I7" s="119">
        <v>3850</v>
      </c>
      <c r="J7" s="644">
        <v>4850</v>
      </c>
      <c r="K7" s="119">
        <v>5750</v>
      </c>
      <c r="L7" s="644">
        <v>4250</v>
      </c>
      <c r="M7" s="119">
        <v>4400</v>
      </c>
      <c r="N7" s="644">
        <v>4750</v>
      </c>
      <c r="O7" s="629">
        <v>4900</v>
      </c>
      <c r="P7" s="652">
        <f aca="true" t="shared" si="0" ref="P7:P28">SUM(D7+E7+F7+G7+H7+I7+J7+K7+L7+M7+N7+O7)</f>
        <v>52850</v>
      </c>
      <c r="Q7" s="693">
        <f aca="true" t="shared" si="1" ref="Q7:Q51">P7*Q$52/P$52</f>
        <v>0.09710690509287408</v>
      </c>
    </row>
    <row r="8" spans="1:17" s="121" customFormat="1" ht="14.25" customHeight="1">
      <c r="A8" s="113">
        <v>3</v>
      </c>
      <c r="B8" s="595" t="s">
        <v>48</v>
      </c>
      <c r="C8" s="596" t="s">
        <v>70</v>
      </c>
      <c r="D8" s="628">
        <v>2030</v>
      </c>
      <c r="E8" s="119">
        <v>3657</v>
      </c>
      <c r="F8" s="118">
        <v>7483</v>
      </c>
      <c r="G8" s="119">
        <v>2675</v>
      </c>
      <c r="H8" s="644">
        <v>3461</v>
      </c>
      <c r="I8" s="119">
        <v>4219</v>
      </c>
      <c r="J8" s="644">
        <v>4711</v>
      </c>
      <c r="K8" s="119">
        <v>4461</v>
      </c>
      <c r="L8" s="644">
        <v>4153</v>
      </c>
      <c r="M8" s="119">
        <v>2825</v>
      </c>
      <c r="N8" s="644">
        <v>2943</v>
      </c>
      <c r="O8" s="629">
        <v>4157</v>
      </c>
      <c r="P8" s="652">
        <f t="shared" si="0"/>
        <v>46775</v>
      </c>
      <c r="Q8" s="693">
        <f t="shared" si="1"/>
        <v>0.08594466387358912</v>
      </c>
    </row>
    <row r="9" spans="1:17" s="121" customFormat="1" ht="18" customHeight="1">
      <c r="A9" s="122">
        <v>4</v>
      </c>
      <c r="B9" s="595" t="s">
        <v>36</v>
      </c>
      <c r="C9" s="596" t="s">
        <v>70</v>
      </c>
      <c r="D9" s="628">
        <v>2234</v>
      </c>
      <c r="E9" s="119">
        <v>2288</v>
      </c>
      <c r="F9" s="118">
        <v>1417</v>
      </c>
      <c r="G9" s="119">
        <v>623</v>
      </c>
      <c r="H9" s="644">
        <v>566</v>
      </c>
      <c r="I9" s="119">
        <v>660</v>
      </c>
      <c r="J9" s="644">
        <v>815</v>
      </c>
      <c r="K9" s="119">
        <v>790</v>
      </c>
      <c r="L9" s="644">
        <v>531</v>
      </c>
      <c r="M9" s="119">
        <v>427</v>
      </c>
      <c r="N9" s="644">
        <v>604</v>
      </c>
      <c r="O9" s="629">
        <v>1727</v>
      </c>
      <c r="P9" s="652">
        <f t="shared" si="0"/>
        <v>12682</v>
      </c>
      <c r="Q9" s="693">
        <f t="shared" si="1"/>
        <v>0.023301982410365733</v>
      </c>
    </row>
    <row r="10" spans="1:17" s="121" customFormat="1" ht="13.5" customHeight="1">
      <c r="A10" s="122">
        <v>5</v>
      </c>
      <c r="B10" s="595" t="s">
        <v>37</v>
      </c>
      <c r="C10" s="596" t="s">
        <v>71</v>
      </c>
      <c r="D10" s="628">
        <v>153561</v>
      </c>
      <c r="E10" s="119">
        <v>170292</v>
      </c>
      <c r="F10" s="118">
        <v>175898</v>
      </c>
      <c r="G10" s="119">
        <v>152125</v>
      </c>
      <c r="H10" s="644">
        <v>65586</v>
      </c>
      <c r="I10" s="119">
        <v>106691</v>
      </c>
      <c r="J10" s="644">
        <v>117721</v>
      </c>
      <c r="K10" s="119">
        <v>80125</v>
      </c>
      <c r="L10" s="644">
        <v>117098</v>
      </c>
      <c r="M10" s="119">
        <v>137904</v>
      </c>
      <c r="N10" s="644">
        <v>122859</v>
      </c>
      <c r="O10" s="629">
        <v>139863</v>
      </c>
      <c r="P10" s="652">
        <f t="shared" si="0"/>
        <v>1539723</v>
      </c>
      <c r="Q10" s="693">
        <f t="shared" si="1"/>
        <v>2.8290962200627314</v>
      </c>
    </row>
    <row r="11" spans="1:17" s="121" customFormat="1" ht="18" customHeight="1">
      <c r="A11" s="122">
        <v>6</v>
      </c>
      <c r="B11" s="595" t="s">
        <v>38</v>
      </c>
      <c r="C11" s="596" t="s">
        <v>70</v>
      </c>
      <c r="D11" s="628">
        <v>26875</v>
      </c>
      <c r="E11" s="119">
        <v>25156</v>
      </c>
      <c r="F11" s="118">
        <v>23509</v>
      </c>
      <c r="G11" s="119">
        <v>26034</v>
      </c>
      <c r="H11" s="644">
        <v>13255</v>
      </c>
      <c r="I11" s="119">
        <v>12615</v>
      </c>
      <c r="J11" s="644">
        <v>8640</v>
      </c>
      <c r="K11" s="119">
        <v>12000</v>
      </c>
      <c r="L11" s="644">
        <v>20905</v>
      </c>
      <c r="M11" s="119">
        <v>18825</v>
      </c>
      <c r="N11" s="644">
        <v>18985</v>
      </c>
      <c r="O11" s="629">
        <v>19503</v>
      </c>
      <c r="P11" s="652">
        <f t="shared" si="0"/>
        <v>226302</v>
      </c>
      <c r="Q11" s="693">
        <f t="shared" si="1"/>
        <v>0.41580864401755135</v>
      </c>
    </row>
    <row r="12" spans="1:17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638">
        <v>0</v>
      </c>
      <c r="F12" s="118">
        <v>1650</v>
      </c>
      <c r="G12" s="638">
        <v>0</v>
      </c>
      <c r="H12" s="645">
        <v>0</v>
      </c>
      <c r="I12" s="638">
        <v>0</v>
      </c>
      <c r="J12" s="645"/>
      <c r="K12" s="638"/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1650</v>
      </c>
      <c r="Q12" s="693">
        <f t="shared" si="1"/>
        <v>0.003031719837336655</v>
      </c>
    </row>
    <row r="13" spans="1:17" s="121" customFormat="1" ht="26.25" customHeight="1">
      <c r="A13" s="122">
        <v>8</v>
      </c>
      <c r="B13" s="595" t="s">
        <v>35</v>
      </c>
      <c r="C13" s="596" t="s">
        <v>70</v>
      </c>
      <c r="D13" s="629"/>
      <c r="E13" s="119"/>
      <c r="F13" s="118">
        <v>0</v>
      </c>
      <c r="G13" s="638">
        <v>110</v>
      </c>
      <c r="H13" s="645">
        <v>430</v>
      </c>
      <c r="I13" s="638">
        <v>650</v>
      </c>
      <c r="J13" s="645">
        <v>580</v>
      </c>
      <c r="K13" s="638">
        <v>430</v>
      </c>
      <c r="L13" s="645">
        <v>490</v>
      </c>
      <c r="M13" s="638">
        <v>490</v>
      </c>
      <c r="N13" s="645">
        <v>620</v>
      </c>
      <c r="O13" s="629">
        <v>700</v>
      </c>
      <c r="P13" s="652">
        <f t="shared" si="0"/>
        <v>4500</v>
      </c>
      <c r="Q13" s="693">
        <f t="shared" si="1"/>
        <v>0.008268326829099969</v>
      </c>
    </row>
    <row r="14" spans="1:17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119"/>
      <c r="F14" s="118"/>
      <c r="G14" s="638">
        <v>886</v>
      </c>
      <c r="H14" s="645"/>
      <c r="I14" s="638"/>
      <c r="J14" s="645"/>
      <c r="K14" s="638"/>
      <c r="L14" s="645">
        <v>1109</v>
      </c>
      <c r="M14" s="638">
        <v>3494</v>
      </c>
      <c r="N14" s="645">
        <v>0</v>
      </c>
      <c r="O14" s="629">
        <v>0</v>
      </c>
      <c r="P14" s="652">
        <f t="shared" si="0"/>
        <v>5489</v>
      </c>
      <c r="Q14" s="693">
        <f t="shared" si="1"/>
        <v>0.010085521325539939</v>
      </c>
    </row>
    <row r="15" spans="1:17" s="121" customFormat="1" ht="17.25" customHeight="1">
      <c r="A15" s="122">
        <v>10</v>
      </c>
      <c r="B15" s="595" t="s">
        <v>21</v>
      </c>
      <c r="C15" s="596" t="s">
        <v>72</v>
      </c>
      <c r="D15" s="629">
        <v>5140</v>
      </c>
      <c r="E15" s="119">
        <v>5160</v>
      </c>
      <c r="F15" s="118">
        <v>3660</v>
      </c>
      <c r="G15" s="638">
        <v>3600</v>
      </c>
      <c r="H15" s="645">
        <v>2820</v>
      </c>
      <c r="I15" s="638">
        <v>2780</v>
      </c>
      <c r="J15" s="645">
        <v>2080</v>
      </c>
      <c r="K15" s="638">
        <v>2060</v>
      </c>
      <c r="L15" s="645">
        <v>4060</v>
      </c>
      <c r="M15" s="638">
        <v>4960</v>
      </c>
      <c r="N15" s="645">
        <v>5840</v>
      </c>
      <c r="O15" s="629">
        <v>6960</v>
      </c>
      <c r="P15" s="652">
        <f t="shared" si="0"/>
        <v>49120</v>
      </c>
      <c r="Q15" s="693">
        <f t="shared" si="1"/>
        <v>0.0902533808545312</v>
      </c>
    </row>
    <row r="16" spans="1:17" s="121" customFormat="1" ht="15.75" customHeight="1">
      <c r="A16" s="122">
        <v>11</v>
      </c>
      <c r="B16" s="595" t="s">
        <v>63</v>
      </c>
      <c r="C16" s="596" t="s">
        <v>70</v>
      </c>
      <c r="D16" s="629">
        <v>242732</v>
      </c>
      <c r="E16" s="119">
        <v>720978</v>
      </c>
      <c r="F16" s="118">
        <v>933510</v>
      </c>
      <c r="G16" s="638">
        <v>858603</v>
      </c>
      <c r="H16" s="645">
        <v>836368</v>
      </c>
      <c r="I16" s="638">
        <v>1190003</v>
      </c>
      <c r="J16" s="645">
        <v>1310590</v>
      </c>
      <c r="K16" s="638">
        <v>793161</v>
      </c>
      <c r="L16" s="645">
        <v>1212600</v>
      </c>
      <c r="M16" s="638">
        <v>1219650</v>
      </c>
      <c r="N16" s="645">
        <v>1405441</v>
      </c>
      <c r="O16" s="629">
        <v>1289988</v>
      </c>
      <c r="P16" s="652">
        <f t="shared" si="0"/>
        <v>12013624</v>
      </c>
      <c r="Q16" s="693">
        <f t="shared" si="1"/>
        <v>22.073904363093174</v>
      </c>
    </row>
    <row r="17" spans="1:17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638">
        <v>0</v>
      </c>
      <c r="F17" s="125">
        <v>460</v>
      </c>
      <c r="G17" s="638">
        <v>0</v>
      </c>
      <c r="H17" s="645">
        <v>2920</v>
      </c>
      <c r="I17" s="638">
        <v>3880</v>
      </c>
      <c r="J17" s="645">
        <v>5280</v>
      </c>
      <c r="K17" s="638">
        <v>6240</v>
      </c>
      <c r="L17" s="645">
        <v>3080</v>
      </c>
      <c r="M17" s="638">
        <v>0</v>
      </c>
      <c r="N17" s="645">
        <v>0</v>
      </c>
      <c r="O17" s="629">
        <v>520</v>
      </c>
      <c r="P17" s="652">
        <f t="shared" si="0"/>
        <v>22380</v>
      </c>
      <c r="Q17" s="693">
        <f t="shared" si="1"/>
        <v>0.041121145430057175</v>
      </c>
    </row>
    <row r="18" spans="1:17" s="121" customFormat="1" ht="15" customHeight="1">
      <c r="A18" s="122">
        <v>13</v>
      </c>
      <c r="B18" s="595" t="s">
        <v>24</v>
      </c>
      <c r="C18" s="596" t="s">
        <v>72</v>
      </c>
      <c r="D18" s="629"/>
      <c r="E18" s="638"/>
      <c r="F18" s="125"/>
      <c r="G18" s="638">
        <v>0</v>
      </c>
      <c r="H18" s="645">
        <v>0</v>
      </c>
      <c r="I18" s="638">
        <v>0</v>
      </c>
      <c r="J18" s="645"/>
      <c r="K18" s="638"/>
      <c r="L18" s="645">
        <v>0</v>
      </c>
      <c r="M18" s="638">
        <v>0</v>
      </c>
      <c r="N18" s="645">
        <v>0</v>
      </c>
      <c r="O18" s="629">
        <v>0</v>
      </c>
      <c r="P18" s="652">
        <f t="shared" si="0"/>
        <v>0</v>
      </c>
      <c r="Q18" s="693">
        <f t="shared" si="1"/>
        <v>0</v>
      </c>
    </row>
    <row r="19" spans="1:17" s="121" customFormat="1" ht="16.5" customHeight="1">
      <c r="A19" s="122">
        <v>14</v>
      </c>
      <c r="B19" s="595" t="s">
        <v>31</v>
      </c>
      <c r="C19" s="596" t="s">
        <v>70</v>
      </c>
      <c r="D19" s="629">
        <v>353</v>
      </c>
      <c r="E19" s="638">
        <v>0</v>
      </c>
      <c r="F19" s="125"/>
      <c r="G19" s="638">
        <v>1010</v>
      </c>
      <c r="H19" s="645"/>
      <c r="I19" s="638"/>
      <c r="J19" s="645">
        <v>196</v>
      </c>
      <c r="K19" s="638">
        <v>167</v>
      </c>
      <c r="L19" s="645">
        <v>262</v>
      </c>
      <c r="M19" s="638">
        <v>341</v>
      </c>
      <c r="N19" s="645">
        <v>453</v>
      </c>
      <c r="O19" s="629">
        <v>267</v>
      </c>
      <c r="P19" s="652">
        <f t="shared" si="0"/>
        <v>3049</v>
      </c>
      <c r="Q19" s="693">
        <f t="shared" si="1"/>
        <v>0.005602250778205734</v>
      </c>
    </row>
    <row r="20" spans="1:17" s="121" customFormat="1" ht="18.75" customHeight="1">
      <c r="A20" s="122">
        <v>15</v>
      </c>
      <c r="B20" s="599" t="s">
        <v>34</v>
      </c>
      <c r="C20" s="596" t="s">
        <v>70</v>
      </c>
      <c r="D20" s="629">
        <v>21860</v>
      </c>
      <c r="E20" s="119">
        <v>23060</v>
      </c>
      <c r="F20" s="125">
        <v>21240</v>
      </c>
      <c r="G20" s="638">
        <v>23040</v>
      </c>
      <c r="H20" s="645">
        <v>22720</v>
      </c>
      <c r="I20" s="638">
        <v>23500</v>
      </c>
      <c r="J20" s="645">
        <v>22620</v>
      </c>
      <c r="K20" s="638">
        <v>24920</v>
      </c>
      <c r="L20" s="645">
        <v>22180</v>
      </c>
      <c r="M20" s="638">
        <v>19560</v>
      </c>
      <c r="N20" s="645">
        <v>20440</v>
      </c>
      <c r="O20" s="629">
        <v>18280</v>
      </c>
      <c r="P20" s="652">
        <f t="shared" si="0"/>
        <v>263420</v>
      </c>
      <c r="Q20" s="693">
        <f t="shared" si="1"/>
        <v>0.48400947851589193</v>
      </c>
    </row>
    <row r="21" spans="1:17" s="121" customFormat="1" ht="16.5" customHeight="1" thickBot="1">
      <c r="A21" s="132">
        <v>16</v>
      </c>
      <c r="B21" s="600" t="s">
        <v>26</v>
      </c>
      <c r="C21" s="601" t="s">
        <v>71</v>
      </c>
      <c r="D21" s="629">
        <v>21675</v>
      </c>
      <c r="E21" s="638">
        <v>209047</v>
      </c>
      <c r="F21" s="125">
        <v>179400</v>
      </c>
      <c r="G21" s="638">
        <v>204729</v>
      </c>
      <c r="H21" s="645">
        <v>214664</v>
      </c>
      <c r="I21" s="638">
        <v>188279</v>
      </c>
      <c r="J21" s="645">
        <v>176452</v>
      </c>
      <c r="K21" s="638">
        <v>133146</v>
      </c>
      <c r="L21" s="645">
        <v>170641</v>
      </c>
      <c r="M21" s="638">
        <v>209301</v>
      </c>
      <c r="N21" s="645">
        <v>237854</v>
      </c>
      <c r="O21" s="629">
        <v>268183</v>
      </c>
      <c r="P21" s="652">
        <f t="shared" si="0"/>
        <v>2213371</v>
      </c>
      <c r="Q21" s="693">
        <f t="shared" si="1"/>
        <v>4.0668610715670725</v>
      </c>
    </row>
    <row r="22" spans="1:17" s="121" customFormat="1" ht="13.5" customHeight="1">
      <c r="A22" s="828">
        <v>17</v>
      </c>
      <c r="B22" s="840" t="s">
        <v>27</v>
      </c>
      <c r="C22" s="602" t="s">
        <v>71</v>
      </c>
      <c r="D22" s="629">
        <v>39645</v>
      </c>
      <c r="E22" s="638">
        <v>78624</v>
      </c>
      <c r="F22" s="125">
        <v>175420</v>
      </c>
      <c r="G22" s="638">
        <v>168034</v>
      </c>
      <c r="H22" s="645">
        <v>133904</v>
      </c>
      <c r="I22" s="638">
        <v>141854</v>
      </c>
      <c r="J22" s="645">
        <v>194196</v>
      </c>
      <c r="K22" s="638">
        <v>131960</v>
      </c>
      <c r="L22" s="645">
        <v>209317</v>
      </c>
      <c r="M22" s="638">
        <v>181900</v>
      </c>
      <c r="N22" s="645">
        <f>224197+760</f>
        <v>224957</v>
      </c>
      <c r="O22" s="629">
        <v>248921</v>
      </c>
      <c r="P22" s="652">
        <f t="shared" si="0"/>
        <v>1928732</v>
      </c>
      <c r="Q22" s="693">
        <f t="shared" si="1"/>
        <v>3.5438636759430313</v>
      </c>
    </row>
    <row r="23" spans="1:17" s="121" customFormat="1" ht="12.75" customHeight="1" thickBot="1">
      <c r="A23" s="829">
        <v>17</v>
      </c>
      <c r="B23" s="841" t="s">
        <v>27</v>
      </c>
      <c r="C23" s="604" t="s">
        <v>72</v>
      </c>
      <c r="D23" s="629">
        <v>2184</v>
      </c>
      <c r="E23" s="638">
        <v>6322</v>
      </c>
      <c r="F23" s="125">
        <v>5802</v>
      </c>
      <c r="G23" s="638">
        <v>5088</v>
      </c>
      <c r="H23" s="645">
        <v>4270</v>
      </c>
      <c r="I23" s="638">
        <v>8060</v>
      </c>
      <c r="J23" s="645">
        <v>5020</v>
      </c>
      <c r="K23" s="638">
        <v>6186</v>
      </c>
      <c r="L23" s="645">
        <v>8564</v>
      </c>
      <c r="M23" s="638">
        <v>9986</v>
      </c>
      <c r="N23" s="645">
        <v>17570</v>
      </c>
      <c r="O23" s="629">
        <v>19298</v>
      </c>
      <c r="P23" s="652">
        <f t="shared" si="0"/>
        <v>98350</v>
      </c>
      <c r="Q23" s="693">
        <f t="shared" si="1"/>
        <v>0.18070887636488486</v>
      </c>
    </row>
    <row r="24" spans="1:17" s="121" customFormat="1" ht="15" customHeight="1" thickBot="1">
      <c r="A24" s="151">
        <v>18</v>
      </c>
      <c r="B24" s="605" t="s">
        <v>46</v>
      </c>
      <c r="C24" s="606" t="s">
        <v>70</v>
      </c>
      <c r="D24" s="629">
        <v>108560</v>
      </c>
      <c r="E24" s="119">
        <v>98258</v>
      </c>
      <c r="F24" s="125">
        <v>107365</v>
      </c>
      <c r="G24" s="638">
        <v>103552</v>
      </c>
      <c r="H24" s="645">
        <v>120653</v>
      </c>
      <c r="I24" s="638">
        <v>115884</v>
      </c>
      <c r="J24" s="645">
        <v>135549</v>
      </c>
      <c r="K24" s="638">
        <v>129668</v>
      </c>
      <c r="L24" s="645">
        <v>105513</v>
      </c>
      <c r="M24" s="638">
        <v>100576</v>
      </c>
      <c r="N24" s="645">
        <v>99770</v>
      </c>
      <c r="O24" s="629">
        <v>110748</v>
      </c>
      <c r="P24" s="652">
        <f t="shared" si="0"/>
        <v>1336096</v>
      </c>
      <c r="Q24" s="693">
        <f t="shared" si="1"/>
        <v>2.454950756234034</v>
      </c>
    </row>
    <row r="25" spans="1:17" s="121" customFormat="1" ht="13.5" customHeight="1">
      <c r="A25" s="828">
        <v>19</v>
      </c>
      <c r="B25" s="840" t="s">
        <v>28</v>
      </c>
      <c r="C25" s="602" t="s">
        <v>71</v>
      </c>
      <c r="D25" s="629">
        <v>596776</v>
      </c>
      <c r="E25" s="119">
        <v>2155231</v>
      </c>
      <c r="F25" s="125">
        <v>2962664</v>
      </c>
      <c r="G25" s="638">
        <v>2914286</v>
      </c>
      <c r="H25" s="645">
        <v>2826445</v>
      </c>
      <c r="I25" s="638">
        <v>2984407</v>
      </c>
      <c r="J25" s="645">
        <v>3031037</v>
      </c>
      <c r="K25" s="638">
        <v>2502397</v>
      </c>
      <c r="L25" s="645">
        <v>3248437</v>
      </c>
      <c r="M25" s="638">
        <v>3350143</v>
      </c>
      <c r="N25" s="645">
        <v>3126734</v>
      </c>
      <c r="O25" s="629">
        <v>3397272</v>
      </c>
      <c r="P25" s="652">
        <f t="shared" si="0"/>
        <v>33095829</v>
      </c>
      <c r="Q25" s="693">
        <f t="shared" si="1"/>
        <v>60.81047352266773</v>
      </c>
    </row>
    <row r="26" spans="1:144" s="121" customFormat="1" ht="13.5" customHeight="1" thickBot="1">
      <c r="A26" s="829"/>
      <c r="B26" s="841"/>
      <c r="C26" s="604" t="s">
        <v>72</v>
      </c>
      <c r="D26" s="630">
        <v>1272</v>
      </c>
      <c r="E26" s="639">
        <v>2152</v>
      </c>
      <c r="F26" s="635">
        <v>3430</v>
      </c>
      <c r="G26" s="638">
        <v>0</v>
      </c>
      <c r="H26" s="645">
        <v>0</v>
      </c>
      <c r="I26" s="638">
        <v>0</v>
      </c>
      <c r="J26" s="645"/>
      <c r="K26" s="638"/>
      <c r="L26" s="645"/>
      <c r="M26" s="638">
        <v>0</v>
      </c>
      <c r="N26" s="645">
        <v>0</v>
      </c>
      <c r="O26" s="630">
        <v>0</v>
      </c>
      <c r="P26" s="652">
        <f t="shared" si="0"/>
        <v>6854</v>
      </c>
      <c r="Q26" s="693">
        <f t="shared" si="1"/>
        <v>0.012593580463700262</v>
      </c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hidden="1">
      <c r="A27" s="568"/>
      <c r="B27" s="603"/>
      <c r="C27" s="607"/>
      <c r="D27" s="630">
        <f>D29-D25-D26-D22-D23-D21-D16</f>
        <v>440007</v>
      </c>
      <c r="E27" s="639">
        <f>E29-E25-E26-E22-E23-E21-E16</f>
        <v>444554</v>
      </c>
      <c r="F27" s="635">
        <f>F29-F25-F26-F22-F23-F21-F16</f>
        <v>466334</v>
      </c>
      <c r="G27" s="639"/>
      <c r="H27" s="646"/>
      <c r="I27" s="638" t="e">
        <f>#REF!*2308294</f>
        <v>#REF!</v>
      </c>
      <c r="J27" s="646"/>
      <c r="K27" s="639"/>
      <c r="L27" s="646"/>
      <c r="M27" s="639"/>
      <c r="N27" s="646"/>
      <c r="O27" s="630"/>
      <c r="P27" s="652" t="e">
        <f t="shared" si="0"/>
        <v>#REF!</v>
      </c>
      <c r="Q27" s="693" t="e">
        <f t="shared" si="1"/>
        <v>#REF!</v>
      </c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13.5" customHeight="1" thickBot="1">
      <c r="A28" s="568"/>
      <c r="B28" s="603" t="s">
        <v>182</v>
      </c>
      <c r="C28" s="602" t="s">
        <v>71</v>
      </c>
      <c r="D28" s="630">
        <v>114498</v>
      </c>
      <c r="E28" s="639">
        <v>111315</v>
      </c>
      <c r="F28" s="635">
        <v>119189</v>
      </c>
      <c r="G28" s="639">
        <v>99422</v>
      </c>
      <c r="H28" s="646">
        <v>75989</v>
      </c>
      <c r="I28" s="639">
        <v>74625</v>
      </c>
      <c r="J28" s="646">
        <v>70750</v>
      </c>
      <c r="K28" s="639">
        <v>64832</v>
      </c>
      <c r="L28" s="646">
        <v>90221</v>
      </c>
      <c r="M28" s="639">
        <v>112361</v>
      </c>
      <c r="N28" s="646">
        <v>112989</v>
      </c>
      <c r="O28" s="630">
        <v>120755</v>
      </c>
      <c r="P28" s="652">
        <f t="shared" si="0"/>
        <v>1166946</v>
      </c>
      <c r="Q28" s="693">
        <f t="shared" si="1"/>
        <v>2.144153537757976</v>
      </c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231" s="121" customFormat="1" ht="16.5" customHeight="1" thickBot="1">
      <c r="A29" s="162"/>
      <c r="B29" s="608" t="s">
        <v>5</v>
      </c>
      <c r="C29" s="609"/>
      <c r="D29" s="631">
        <f aca="true" t="shared" si="2" ref="D29:P29">D6+D7+D8+D9+D10+D11+D12+D13+D14+D15+D16+D17+D18+D19+D20+D21+D23+D24+D25+D22+D26+D28</f>
        <v>1344291</v>
      </c>
      <c r="E29" s="640">
        <f t="shared" si="2"/>
        <v>3616908</v>
      </c>
      <c r="F29" s="636">
        <f t="shared" si="2"/>
        <v>4726560</v>
      </c>
      <c r="G29" s="640">
        <f t="shared" si="2"/>
        <v>4568554</v>
      </c>
      <c r="H29" s="647">
        <f t="shared" si="2"/>
        <v>4327356</v>
      </c>
      <c r="I29" s="640">
        <f t="shared" si="2"/>
        <v>4862041</v>
      </c>
      <c r="J29" s="647">
        <f t="shared" si="2"/>
        <v>5091154</v>
      </c>
      <c r="K29" s="640">
        <f t="shared" si="2"/>
        <v>3898376</v>
      </c>
      <c r="L29" s="647">
        <f t="shared" si="2"/>
        <v>5223574</v>
      </c>
      <c r="M29" s="640">
        <f t="shared" si="2"/>
        <v>5377512</v>
      </c>
      <c r="N29" s="647">
        <f t="shared" si="2"/>
        <v>5403234</v>
      </c>
      <c r="O29" s="631">
        <f t="shared" si="2"/>
        <v>5653039</v>
      </c>
      <c r="P29" s="653">
        <f t="shared" si="2"/>
        <v>54092599</v>
      </c>
      <c r="Q29" s="693">
        <f t="shared" si="1"/>
        <v>99.39006390387692</v>
      </c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  <c r="FU29" s="166"/>
      <c r="FV29" s="166"/>
      <c r="FW29" s="166"/>
      <c r="FX29" s="166"/>
      <c r="FY29" s="166"/>
      <c r="FZ29" s="166"/>
      <c r="GA29" s="166"/>
      <c r="GB29" s="166"/>
      <c r="GC29" s="166"/>
      <c r="GD29" s="166"/>
      <c r="GE29" s="166"/>
      <c r="GF29" s="166"/>
      <c r="GG29" s="166"/>
      <c r="GH29" s="166"/>
      <c r="GI29" s="166"/>
      <c r="GJ29" s="166"/>
      <c r="GK29" s="166"/>
      <c r="GL29" s="166"/>
      <c r="GM29" s="166"/>
      <c r="GN29" s="166"/>
      <c r="GO29" s="166"/>
      <c r="GP29" s="166"/>
      <c r="GQ29" s="166"/>
      <c r="GR29" s="166"/>
      <c r="GS29" s="166"/>
      <c r="GT29" s="166"/>
      <c r="GU29" s="166"/>
      <c r="GV29" s="166"/>
      <c r="GW29" s="166"/>
      <c r="GX29" s="166"/>
      <c r="GY29" s="166"/>
      <c r="GZ29" s="166"/>
      <c r="HA29" s="166"/>
      <c r="HB29" s="166"/>
      <c r="HC29" s="166"/>
      <c r="HD29" s="166"/>
      <c r="HE29" s="166"/>
      <c r="HF29" s="166"/>
      <c r="HG29" s="166"/>
      <c r="HH29" s="166"/>
      <c r="HI29" s="166"/>
      <c r="HJ29" s="166"/>
      <c r="HK29" s="166"/>
      <c r="HL29" s="166"/>
      <c r="HM29" s="166"/>
      <c r="HN29" s="166"/>
      <c r="HO29" s="166"/>
      <c r="HP29" s="166"/>
      <c r="HQ29" s="166"/>
      <c r="HR29" s="166"/>
      <c r="HS29" s="166"/>
      <c r="HT29" s="166"/>
      <c r="HU29" s="166"/>
      <c r="HV29" s="166"/>
      <c r="HW29" s="166"/>
    </row>
    <row r="30" spans="1:17" s="121" customFormat="1" ht="16.5" customHeight="1">
      <c r="A30" s="131">
        <v>20</v>
      </c>
      <c r="B30" s="610" t="s">
        <v>64</v>
      </c>
      <c r="C30" s="596" t="s">
        <v>70</v>
      </c>
      <c r="D30" s="632">
        <v>1173</v>
      </c>
      <c r="E30" s="641">
        <v>1069</v>
      </c>
      <c r="F30" s="155">
        <v>1259</v>
      </c>
      <c r="G30" s="641">
        <v>415</v>
      </c>
      <c r="H30" s="597">
        <v>492</v>
      </c>
      <c r="I30" s="641">
        <v>396</v>
      </c>
      <c r="J30" s="597">
        <v>392</v>
      </c>
      <c r="K30" s="641">
        <v>449</v>
      </c>
      <c r="L30" s="597">
        <v>500</v>
      </c>
      <c r="M30" s="641">
        <v>634</v>
      </c>
      <c r="N30" s="597">
        <v>637</v>
      </c>
      <c r="O30" s="650">
        <v>867</v>
      </c>
      <c r="P30" s="654">
        <f>SUM(D30+E30+F30+G30+H30+I30+J30+K30+L30+M30+N30+O30)</f>
        <v>8283</v>
      </c>
      <c r="Q30" s="693">
        <f t="shared" si="1"/>
        <v>0.015219233583430008</v>
      </c>
    </row>
    <row r="31" spans="1:17" s="121" customFormat="1" ht="15" customHeight="1" thickBot="1">
      <c r="A31" s="133">
        <v>21</v>
      </c>
      <c r="B31" s="611" t="s">
        <v>65</v>
      </c>
      <c r="C31" s="596" t="s">
        <v>70</v>
      </c>
      <c r="D31" s="633">
        <v>3510</v>
      </c>
      <c r="E31" s="642">
        <v>2910</v>
      </c>
      <c r="F31" s="135">
        <v>3270</v>
      </c>
      <c r="G31" s="641">
        <v>3030</v>
      </c>
      <c r="H31" s="597">
        <v>4080</v>
      </c>
      <c r="I31" s="648">
        <v>3510</v>
      </c>
      <c r="J31" s="597">
        <v>3210</v>
      </c>
      <c r="K31" s="641">
        <v>4290</v>
      </c>
      <c r="L31" s="597">
        <v>4470</v>
      </c>
      <c r="M31" s="648">
        <v>4860</v>
      </c>
      <c r="N31" s="597">
        <v>4290</v>
      </c>
      <c r="O31" s="651">
        <v>3990</v>
      </c>
      <c r="P31" s="654">
        <f>SUM(D31+E31+F31+G31+H31+I31+J31+K31+L31+M31+N31+O31)</f>
        <v>45420</v>
      </c>
      <c r="Q31" s="693">
        <f t="shared" si="1"/>
        <v>0.08345497879504901</v>
      </c>
    </row>
    <row r="32" spans="1:17" s="121" customFormat="1" ht="15.75" customHeight="1" thickBot="1">
      <c r="A32" s="175"/>
      <c r="B32" s="612"/>
      <c r="C32" s="612"/>
      <c r="D32" s="634">
        <f>D30+D31</f>
        <v>4683</v>
      </c>
      <c r="E32" s="186">
        <f>E30+E31</f>
        <v>3979</v>
      </c>
      <c r="F32" s="637">
        <f>F30+F31</f>
        <v>4529</v>
      </c>
      <c r="G32" s="186">
        <f aca="true" t="shared" si="3" ref="G32:P32">G30+G31</f>
        <v>3445</v>
      </c>
      <c r="H32" s="637">
        <f t="shared" si="3"/>
        <v>4572</v>
      </c>
      <c r="I32" s="169">
        <f t="shared" si="3"/>
        <v>3906</v>
      </c>
      <c r="J32" s="634">
        <f t="shared" si="3"/>
        <v>3602</v>
      </c>
      <c r="K32" s="186">
        <f t="shared" si="3"/>
        <v>4739</v>
      </c>
      <c r="L32" s="637">
        <f t="shared" si="3"/>
        <v>4970</v>
      </c>
      <c r="M32" s="169">
        <f t="shared" si="3"/>
        <v>5494</v>
      </c>
      <c r="N32" s="169">
        <f t="shared" si="3"/>
        <v>4927</v>
      </c>
      <c r="O32" s="634">
        <f t="shared" si="3"/>
        <v>4857</v>
      </c>
      <c r="P32" s="655">
        <f t="shared" si="3"/>
        <v>53703</v>
      </c>
      <c r="Q32" s="693">
        <f t="shared" si="1"/>
        <v>0.09867421237847902</v>
      </c>
    </row>
    <row r="33" spans="1:17" ht="56.25" customHeight="1" thickBot="1">
      <c r="A33" s="663"/>
      <c r="B33" s="842" t="s">
        <v>184</v>
      </c>
      <c r="C33" s="843"/>
      <c r="D33" s="844"/>
      <c r="E33" s="844"/>
      <c r="F33" s="844"/>
      <c r="G33" s="845"/>
      <c r="H33" s="845"/>
      <c r="I33" s="845"/>
      <c r="J33" s="845"/>
      <c r="K33" s="698"/>
      <c r="L33" s="698"/>
      <c r="M33" s="698"/>
      <c r="N33" s="698"/>
      <c r="O33" s="701"/>
      <c r="P33" s="699"/>
      <c r="Q33" s="693">
        <f t="shared" si="1"/>
        <v>0</v>
      </c>
    </row>
    <row r="34" spans="1:17" ht="21" customHeight="1" thickBot="1">
      <c r="A34" s="697">
        <v>22</v>
      </c>
      <c r="B34" s="106" t="s">
        <v>74</v>
      </c>
      <c r="C34" s="700" t="s">
        <v>72</v>
      </c>
      <c r="D34" s="704">
        <v>0</v>
      </c>
      <c r="E34" s="704">
        <v>0</v>
      </c>
      <c r="F34" s="704">
        <v>0</v>
      </c>
      <c r="G34" s="704">
        <v>0</v>
      </c>
      <c r="H34" s="704">
        <v>0</v>
      </c>
      <c r="I34" s="704">
        <v>0</v>
      </c>
      <c r="J34" s="704">
        <v>0</v>
      </c>
      <c r="K34" s="704">
        <v>0</v>
      </c>
      <c r="L34" s="704">
        <v>0</v>
      </c>
      <c r="M34" s="704">
        <v>0</v>
      </c>
      <c r="N34" s="704">
        <v>0</v>
      </c>
      <c r="O34" s="704">
        <v>0</v>
      </c>
      <c r="P34" s="704">
        <v>0</v>
      </c>
      <c r="Q34" s="693"/>
    </row>
    <row r="35" spans="1:17" ht="17.25" customHeight="1" thickBot="1">
      <c r="A35" s="658">
        <v>23</v>
      </c>
      <c r="B35" s="659" t="s">
        <v>187</v>
      </c>
      <c r="C35" s="660" t="s">
        <v>72</v>
      </c>
      <c r="D35" s="661">
        <v>0</v>
      </c>
      <c r="E35" s="662">
        <v>0</v>
      </c>
      <c r="F35" s="661">
        <v>0</v>
      </c>
      <c r="G35" s="702">
        <v>0</v>
      </c>
      <c r="H35" s="668">
        <v>99</v>
      </c>
      <c r="I35" s="702">
        <v>0</v>
      </c>
      <c r="J35" s="668"/>
      <c r="K35" s="702"/>
      <c r="L35" s="702">
        <v>0</v>
      </c>
      <c r="M35" s="668">
        <v>0</v>
      </c>
      <c r="N35" s="702">
        <v>0</v>
      </c>
      <c r="O35" s="668">
        <v>0</v>
      </c>
      <c r="P35" s="703">
        <f aca="true" t="shared" si="4" ref="P35:P50">SUM(D35+E35+F35+G35+H35+I35+J35+K35+L35+M35+N35+O35)</f>
        <v>99</v>
      </c>
      <c r="Q35" s="693">
        <f t="shared" si="1"/>
        <v>0.0001819031902401993</v>
      </c>
    </row>
    <row r="36" spans="1:17" ht="15.75" customHeight="1" thickBot="1">
      <c r="A36" s="57">
        <v>24</v>
      </c>
      <c r="B36" s="614" t="s">
        <v>66</v>
      </c>
      <c r="C36" s="615" t="s">
        <v>72</v>
      </c>
      <c r="D36" s="189">
        <v>0</v>
      </c>
      <c r="E36" s="190">
        <v>0</v>
      </c>
      <c r="F36" s="191">
        <v>0</v>
      </c>
      <c r="G36" s="667">
        <v>0</v>
      </c>
      <c r="H36" s="669">
        <v>0</v>
      </c>
      <c r="I36" s="667">
        <v>0</v>
      </c>
      <c r="J36" s="669"/>
      <c r="K36" s="667"/>
      <c r="L36" s="667">
        <v>0</v>
      </c>
      <c r="M36" s="669">
        <v>0</v>
      </c>
      <c r="N36" s="667">
        <v>0</v>
      </c>
      <c r="O36" s="669">
        <v>0</v>
      </c>
      <c r="P36" s="671">
        <f t="shared" si="4"/>
        <v>0</v>
      </c>
      <c r="Q36" s="693">
        <f t="shared" si="1"/>
        <v>0</v>
      </c>
    </row>
    <row r="37" spans="1:17" ht="18.75" customHeight="1" thickBot="1">
      <c r="A37" s="57">
        <v>25</v>
      </c>
      <c r="B37" s="616" t="s">
        <v>41</v>
      </c>
      <c r="C37" s="617" t="s">
        <v>72</v>
      </c>
      <c r="D37" s="99">
        <v>3933</v>
      </c>
      <c r="E37" s="102">
        <v>5481</v>
      </c>
      <c r="F37" s="103">
        <v>4959</v>
      </c>
      <c r="G37" s="667">
        <v>7143</v>
      </c>
      <c r="H37" s="669">
        <v>4761</v>
      </c>
      <c r="I37" s="667">
        <v>5060</v>
      </c>
      <c r="J37" s="669">
        <v>6184</v>
      </c>
      <c r="K37" s="667">
        <v>6484</v>
      </c>
      <c r="L37" s="667">
        <v>4595</v>
      </c>
      <c r="M37" s="669">
        <v>5001</v>
      </c>
      <c r="N37" s="667">
        <v>6770</v>
      </c>
      <c r="O37" s="669">
        <v>7792</v>
      </c>
      <c r="P37" s="671">
        <f t="shared" si="4"/>
        <v>68163</v>
      </c>
      <c r="Q37" s="693">
        <f t="shared" si="1"/>
        <v>0.12524310258932025</v>
      </c>
    </row>
    <row r="38" spans="1:17" ht="18.75" customHeight="1" thickBot="1">
      <c r="A38" s="57">
        <v>26</v>
      </c>
      <c r="B38" s="616" t="s">
        <v>188</v>
      </c>
      <c r="C38" s="617" t="s">
        <v>72</v>
      </c>
      <c r="D38" s="99"/>
      <c r="E38" s="102"/>
      <c r="F38" s="103"/>
      <c r="G38" s="667"/>
      <c r="H38" s="669"/>
      <c r="I38" s="667"/>
      <c r="J38" s="669">
        <v>40560</v>
      </c>
      <c r="K38" s="667">
        <v>9200</v>
      </c>
      <c r="L38" s="667">
        <v>5600</v>
      </c>
      <c r="M38" s="669">
        <v>7960</v>
      </c>
      <c r="N38" s="667">
        <v>10200</v>
      </c>
      <c r="O38" s="669">
        <v>6840</v>
      </c>
      <c r="P38" s="671">
        <f t="shared" si="4"/>
        <v>80360</v>
      </c>
      <c r="Q38" s="693">
        <f t="shared" si="1"/>
        <v>0.1476539431081052</v>
      </c>
    </row>
    <row r="39" spans="1:17" ht="16.5" customHeight="1" thickBot="1">
      <c r="A39" s="57">
        <v>27</v>
      </c>
      <c r="B39" s="618" t="s">
        <v>67</v>
      </c>
      <c r="C39" s="617" t="s">
        <v>72</v>
      </c>
      <c r="D39" s="99">
        <v>0</v>
      </c>
      <c r="E39" s="102">
        <v>0</v>
      </c>
      <c r="F39" s="102">
        <v>0</v>
      </c>
      <c r="G39" s="667">
        <v>0</v>
      </c>
      <c r="H39" s="669">
        <v>0</v>
      </c>
      <c r="I39" s="667">
        <v>0</v>
      </c>
      <c r="J39" s="669"/>
      <c r="K39" s="667"/>
      <c r="L39" s="667">
        <v>0</v>
      </c>
      <c r="M39" s="669">
        <v>0</v>
      </c>
      <c r="N39" s="667">
        <v>0</v>
      </c>
      <c r="O39" s="669">
        <v>0</v>
      </c>
      <c r="P39" s="671">
        <f t="shared" si="4"/>
        <v>0</v>
      </c>
      <c r="Q39" s="693">
        <f t="shared" si="1"/>
        <v>0</v>
      </c>
    </row>
    <row r="40" spans="1:17" ht="17.25" customHeight="1" thickBot="1">
      <c r="A40" s="57">
        <v>28</v>
      </c>
      <c r="B40" s="616" t="s">
        <v>68</v>
      </c>
      <c r="C40" s="617" t="s">
        <v>72</v>
      </c>
      <c r="D40" s="99">
        <v>228</v>
      </c>
      <c r="E40" s="102">
        <v>266</v>
      </c>
      <c r="F40" s="103">
        <v>158</v>
      </c>
      <c r="G40" s="667"/>
      <c r="H40" s="669">
        <v>87</v>
      </c>
      <c r="I40" s="667"/>
      <c r="J40" s="669">
        <v>101</v>
      </c>
      <c r="K40" s="667">
        <v>49</v>
      </c>
      <c r="L40" s="667">
        <v>28</v>
      </c>
      <c r="M40" s="669">
        <v>72</v>
      </c>
      <c r="N40" s="667">
        <v>72</v>
      </c>
      <c r="O40" s="669">
        <v>108</v>
      </c>
      <c r="P40" s="671">
        <f t="shared" si="4"/>
        <v>1169</v>
      </c>
      <c r="Q40" s="693">
        <f t="shared" si="1"/>
        <v>0.0021479275696039695</v>
      </c>
    </row>
    <row r="41" spans="1:17" ht="16.5" customHeight="1" thickBot="1">
      <c r="A41" s="57">
        <v>29</v>
      </c>
      <c r="B41" s="618" t="s">
        <v>43</v>
      </c>
      <c r="C41" s="617" t="s">
        <v>72</v>
      </c>
      <c r="D41" s="99">
        <v>0</v>
      </c>
      <c r="E41" s="101">
        <v>0</v>
      </c>
      <c r="F41" s="99"/>
      <c r="G41" s="667"/>
      <c r="H41" s="669">
        <v>0</v>
      </c>
      <c r="I41" s="667"/>
      <c r="J41" s="669"/>
      <c r="K41" s="667"/>
      <c r="L41" s="667">
        <v>0</v>
      </c>
      <c r="M41" s="669">
        <v>0</v>
      </c>
      <c r="N41" s="667">
        <v>0</v>
      </c>
      <c r="O41" s="669">
        <v>0</v>
      </c>
      <c r="P41" s="671">
        <f t="shared" si="4"/>
        <v>0</v>
      </c>
      <c r="Q41" s="693">
        <f t="shared" si="1"/>
        <v>0</v>
      </c>
    </row>
    <row r="42" spans="1:17" ht="16.5" customHeight="1" thickBot="1">
      <c r="A42" s="57">
        <v>30</v>
      </c>
      <c r="B42" s="616" t="s">
        <v>183</v>
      </c>
      <c r="C42" s="617" t="s">
        <v>72</v>
      </c>
      <c r="D42" s="103">
        <v>967</v>
      </c>
      <c r="E42" s="102">
        <v>1541</v>
      </c>
      <c r="F42" s="103">
        <v>1363</v>
      </c>
      <c r="G42" s="667"/>
      <c r="H42" s="669">
        <v>1400</v>
      </c>
      <c r="I42" s="667"/>
      <c r="J42" s="669">
        <v>3180</v>
      </c>
      <c r="K42" s="667">
        <v>1179</v>
      </c>
      <c r="L42" s="667">
        <v>1333</v>
      </c>
      <c r="M42" s="669">
        <v>1104</v>
      </c>
      <c r="N42" s="667">
        <v>1406</v>
      </c>
      <c r="O42" s="669">
        <v>1953</v>
      </c>
      <c r="P42" s="671">
        <f t="shared" si="4"/>
        <v>15426</v>
      </c>
      <c r="Q42" s="693">
        <f t="shared" si="1"/>
        <v>0.02834382437015469</v>
      </c>
    </row>
    <row r="43" spans="1:17" ht="13.5" customHeight="1" thickBot="1">
      <c r="A43" s="57">
        <v>31</v>
      </c>
      <c r="B43" s="616" t="s">
        <v>77</v>
      </c>
      <c r="C43" s="617" t="s">
        <v>72</v>
      </c>
      <c r="D43" s="103">
        <v>5539</v>
      </c>
      <c r="E43" s="102">
        <v>5189</v>
      </c>
      <c r="F43" s="103">
        <v>3941</v>
      </c>
      <c r="G43" s="667"/>
      <c r="H43" s="669">
        <v>3920</v>
      </c>
      <c r="I43" s="667"/>
      <c r="J43" s="669">
        <v>6660</v>
      </c>
      <c r="K43" s="667">
        <v>2780</v>
      </c>
      <c r="L43" s="667">
        <v>3240</v>
      </c>
      <c r="M43" s="669">
        <v>3860</v>
      </c>
      <c r="N43" s="667">
        <v>4400</v>
      </c>
      <c r="O43" s="669">
        <v>3900</v>
      </c>
      <c r="P43" s="671">
        <f t="shared" si="4"/>
        <v>43429</v>
      </c>
      <c r="Q43" s="693">
        <f t="shared" si="1"/>
        <v>0.07979670352466278</v>
      </c>
    </row>
    <row r="44" spans="1:17" ht="12" customHeight="1" thickBot="1">
      <c r="A44" s="57">
        <v>32</v>
      </c>
      <c r="B44" s="616" t="s">
        <v>78</v>
      </c>
      <c r="C44" s="617" t="s">
        <v>72</v>
      </c>
      <c r="D44" s="103">
        <v>1790</v>
      </c>
      <c r="E44" s="102">
        <v>2439</v>
      </c>
      <c r="F44" s="103">
        <v>1490</v>
      </c>
      <c r="G44" s="667"/>
      <c r="H44" s="669">
        <v>986</v>
      </c>
      <c r="I44" s="667"/>
      <c r="J44" s="669">
        <v>1211</v>
      </c>
      <c r="K44" s="667">
        <v>1208</v>
      </c>
      <c r="L44" s="667">
        <v>1349</v>
      </c>
      <c r="M44" s="669">
        <v>576</v>
      </c>
      <c r="N44" s="667">
        <v>1017</v>
      </c>
      <c r="O44" s="669">
        <v>897</v>
      </c>
      <c r="P44" s="671">
        <f t="shared" si="4"/>
        <v>12963</v>
      </c>
      <c r="Q44" s="693">
        <f t="shared" si="1"/>
        <v>0.023818293485693975</v>
      </c>
    </row>
    <row r="45" spans="1:17" ht="16.5" customHeight="1" thickBot="1">
      <c r="A45" s="57">
        <v>33</v>
      </c>
      <c r="B45" s="616" t="s">
        <v>57</v>
      </c>
      <c r="C45" s="617" t="s">
        <v>72</v>
      </c>
      <c r="D45" s="103">
        <v>684</v>
      </c>
      <c r="E45" s="102">
        <v>402</v>
      </c>
      <c r="F45" s="103">
        <v>382</v>
      </c>
      <c r="G45" s="667">
        <v>241</v>
      </c>
      <c r="H45" s="669">
        <v>262</v>
      </c>
      <c r="I45" s="667">
        <v>40</v>
      </c>
      <c r="J45" s="669">
        <v>241</v>
      </c>
      <c r="K45" s="667">
        <v>282</v>
      </c>
      <c r="L45" s="667">
        <v>382</v>
      </c>
      <c r="M45" s="669">
        <v>262</v>
      </c>
      <c r="N45" s="667">
        <v>322</v>
      </c>
      <c r="O45" s="669">
        <v>302</v>
      </c>
      <c r="P45" s="671">
        <f t="shared" si="4"/>
        <v>3802</v>
      </c>
      <c r="Q45" s="693">
        <f t="shared" si="1"/>
        <v>0.0069858174676084624</v>
      </c>
    </row>
    <row r="46" spans="1:17" ht="16.5" customHeight="1" thickBot="1">
      <c r="A46" s="57">
        <v>34</v>
      </c>
      <c r="B46" s="616" t="s">
        <v>58</v>
      </c>
      <c r="C46" s="617" t="s">
        <v>72</v>
      </c>
      <c r="D46" s="103">
        <v>486</v>
      </c>
      <c r="E46" s="102">
        <v>510</v>
      </c>
      <c r="F46" s="103">
        <v>199</v>
      </c>
      <c r="G46" s="667">
        <v>174</v>
      </c>
      <c r="H46" s="669"/>
      <c r="I46" s="667">
        <v>480</v>
      </c>
      <c r="J46" s="669">
        <v>383</v>
      </c>
      <c r="K46" s="667">
        <v>656</v>
      </c>
      <c r="L46" s="667">
        <v>268</v>
      </c>
      <c r="M46" s="669">
        <v>171</v>
      </c>
      <c r="N46" s="667">
        <v>348</v>
      </c>
      <c r="O46" s="669">
        <v>268</v>
      </c>
      <c r="P46" s="671">
        <f t="shared" si="4"/>
        <v>3943</v>
      </c>
      <c r="Q46" s="693">
        <f t="shared" si="1"/>
        <v>0.0072448917082535945</v>
      </c>
    </row>
    <row r="47" spans="1:17" ht="16.5" customHeight="1" thickBot="1">
      <c r="A47" s="57">
        <v>35</v>
      </c>
      <c r="B47" s="616" t="s">
        <v>186</v>
      </c>
      <c r="C47" s="617" t="s">
        <v>72</v>
      </c>
      <c r="D47" s="103">
        <v>877</v>
      </c>
      <c r="E47" s="102">
        <v>1112</v>
      </c>
      <c r="F47" s="103">
        <v>662</v>
      </c>
      <c r="G47" s="667"/>
      <c r="H47" s="669">
        <v>1030</v>
      </c>
      <c r="I47" s="667">
        <v>525</v>
      </c>
      <c r="J47" s="669">
        <v>695</v>
      </c>
      <c r="K47" s="667"/>
      <c r="L47" s="667"/>
      <c r="M47" s="669">
        <v>994</v>
      </c>
      <c r="N47" s="667">
        <v>1244</v>
      </c>
      <c r="O47" s="669">
        <v>5155</v>
      </c>
      <c r="P47" s="671">
        <f t="shared" si="4"/>
        <v>12294</v>
      </c>
      <c r="Q47" s="693">
        <f t="shared" si="1"/>
        <v>0.022589068897101112</v>
      </c>
    </row>
    <row r="48" spans="1:17" ht="17.25" customHeight="1" thickBot="1">
      <c r="A48" s="57">
        <v>36</v>
      </c>
      <c r="B48" s="616" t="s">
        <v>60</v>
      </c>
      <c r="C48" s="617" t="s">
        <v>72</v>
      </c>
      <c r="D48" s="103">
        <v>2648</v>
      </c>
      <c r="E48" s="102">
        <v>3028</v>
      </c>
      <c r="F48" s="103">
        <v>1369</v>
      </c>
      <c r="G48" s="667"/>
      <c r="H48" s="669"/>
      <c r="I48" s="667"/>
      <c r="J48" s="669"/>
      <c r="K48" s="667">
        <v>2481</v>
      </c>
      <c r="L48" s="667">
        <v>0</v>
      </c>
      <c r="M48" s="669">
        <v>1081</v>
      </c>
      <c r="N48" s="667">
        <v>0</v>
      </c>
      <c r="O48" s="669">
        <v>5134</v>
      </c>
      <c r="P48" s="671">
        <f t="shared" si="4"/>
        <v>15741</v>
      </c>
      <c r="Q48" s="693">
        <f t="shared" si="1"/>
        <v>0.02892260724819169</v>
      </c>
    </row>
    <row r="49" spans="1:17" ht="18" customHeight="1" thickBot="1">
      <c r="A49" s="57">
        <v>37</v>
      </c>
      <c r="B49" s="616" t="s">
        <v>61</v>
      </c>
      <c r="C49" s="617" t="s">
        <v>72</v>
      </c>
      <c r="D49" s="103">
        <v>2411</v>
      </c>
      <c r="E49" s="102">
        <v>2081</v>
      </c>
      <c r="F49" s="103">
        <v>1378</v>
      </c>
      <c r="G49" s="667"/>
      <c r="H49" s="669"/>
      <c r="I49" s="667">
        <v>4035</v>
      </c>
      <c r="J49" s="669">
        <v>1736</v>
      </c>
      <c r="K49" s="667">
        <v>1617</v>
      </c>
      <c r="L49" s="667">
        <v>1515</v>
      </c>
      <c r="M49" s="669">
        <v>0</v>
      </c>
      <c r="N49" s="667">
        <v>0</v>
      </c>
      <c r="O49" s="669">
        <v>1849</v>
      </c>
      <c r="P49" s="671">
        <f t="shared" si="4"/>
        <v>16622</v>
      </c>
      <c r="Q49" s="693">
        <f t="shared" si="1"/>
        <v>0.030541361900733262</v>
      </c>
    </row>
    <row r="50" spans="1:17" ht="15" customHeight="1" thickBot="1">
      <c r="A50" s="57">
        <v>38</v>
      </c>
      <c r="B50" s="619" t="s">
        <v>62</v>
      </c>
      <c r="C50" s="613" t="s">
        <v>72</v>
      </c>
      <c r="D50" s="181">
        <v>480</v>
      </c>
      <c r="E50" s="102">
        <v>462</v>
      </c>
      <c r="F50" s="103">
        <v>332</v>
      </c>
      <c r="G50" s="667"/>
      <c r="H50" s="669"/>
      <c r="I50" s="667">
        <v>1125</v>
      </c>
      <c r="J50" s="669">
        <v>273</v>
      </c>
      <c r="K50" s="670"/>
      <c r="L50" s="667">
        <v>0</v>
      </c>
      <c r="M50" s="669">
        <v>630</v>
      </c>
      <c r="N50" s="667">
        <v>399</v>
      </c>
      <c r="O50" s="669">
        <v>540</v>
      </c>
      <c r="P50" s="671">
        <f t="shared" si="4"/>
        <v>4241</v>
      </c>
      <c r="Q50" s="693">
        <f t="shared" si="1"/>
        <v>0.007792438684936215</v>
      </c>
    </row>
    <row r="51" spans="1:17" ht="12.75" customHeight="1" thickBot="1">
      <c r="A51" s="88"/>
      <c r="B51" s="620" t="s">
        <v>5</v>
      </c>
      <c r="C51" s="664"/>
      <c r="D51" s="665">
        <f aca="true" t="shared" si="5" ref="D51:K51">D35+D36+D37+D39+D40+D41+D43+D44+D45+D46+D47+D48+D49+D50+D42+D34</f>
        <v>20043</v>
      </c>
      <c r="E51" s="666">
        <f t="shared" si="5"/>
        <v>22511</v>
      </c>
      <c r="F51" s="666">
        <f t="shared" si="5"/>
        <v>16233</v>
      </c>
      <c r="G51" s="666">
        <f t="shared" si="5"/>
        <v>7558</v>
      </c>
      <c r="H51" s="666">
        <f t="shared" si="5"/>
        <v>12545</v>
      </c>
      <c r="I51" s="666">
        <f t="shared" si="5"/>
        <v>11265</v>
      </c>
      <c r="J51" s="666">
        <f t="shared" si="5"/>
        <v>20664</v>
      </c>
      <c r="K51" s="666">
        <f t="shared" si="5"/>
        <v>16736</v>
      </c>
      <c r="L51" s="666">
        <f>L35+L36+L37+L39+L40+L41+L43+L44+L45+L46+L47+L48+L49+L50+L42+L38+L34</f>
        <v>18310</v>
      </c>
      <c r="M51" s="665">
        <f>M35+M36+M37+M39+M40+M41+M43+M44+M45+M46+M47+M48+M49+M50+M42+M38+M34</f>
        <v>21711</v>
      </c>
      <c r="N51" s="665">
        <f>N35+N36+N37+N39+N40+N41+N43+N44+N45+N46+N47+N48+N49+N50+N42+N38+N34</f>
        <v>26178</v>
      </c>
      <c r="O51" s="665">
        <f>O35+O36+O37+O39+O40+O41+O43+O44+O45+O46+O47+O48+O49+O50+O42+O38+O34</f>
        <v>34738</v>
      </c>
      <c r="P51" s="665">
        <f>P35+P36+P37+P39+P40+P41+P43+P44+P45+P46+P47+P48+P49+P50+P42+P38+P34</f>
        <v>278252</v>
      </c>
      <c r="Q51" s="693">
        <f t="shared" si="1"/>
        <v>0.5112618837446055</v>
      </c>
    </row>
    <row r="52" spans="1:17" ht="15" customHeight="1" thickBot="1">
      <c r="A52" s="833"/>
      <c r="B52" s="837" t="s">
        <v>50</v>
      </c>
      <c r="C52" s="621"/>
      <c r="D52" s="674">
        <f>D51+D29+D32</f>
        <v>1369017</v>
      </c>
      <c r="E52" s="675">
        <f>E51+E29+E32</f>
        <v>3643398</v>
      </c>
      <c r="F52" s="675">
        <f>F51+F29+F32</f>
        <v>4747322</v>
      </c>
      <c r="G52" s="676">
        <f>G51+G29+G32</f>
        <v>4579557</v>
      </c>
      <c r="H52" s="674">
        <f aca="true" t="shared" si="6" ref="H52:O52">H51+H29+H32</f>
        <v>4344473</v>
      </c>
      <c r="I52" s="675">
        <f t="shared" si="6"/>
        <v>4877212</v>
      </c>
      <c r="J52" s="675">
        <f t="shared" si="6"/>
        <v>5115420</v>
      </c>
      <c r="K52" s="675">
        <f t="shared" si="6"/>
        <v>3919851</v>
      </c>
      <c r="L52" s="676">
        <f t="shared" si="6"/>
        <v>5246854</v>
      </c>
      <c r="M52" s="674">
        <f>M51+M29+M32</f>
        <v>5404717</v>
      </c>
      <c r="N52" s="675">
        <f t="shared" si="6"/>
        <v>5434339</v>
      </c>
      <c r="O52" s="677">
        <f t="shared" si="6"/>
        <v>5692634</v>
      </c>
      <c r="P52" s="678">
        <f>P51+P29+P32</f>
        <v>54424554</v>
      </c>
      <c r="Q52" s="691">
        <v>100</v>
      </c>
    </row>
    <row r="53" spans="1:25" ht="6" customHeight="1">
      <c r="A53" s="831"/>
      <c r="B53" s="838"/>
      <c r="C53" s="622"/>
      <c r="D53" s="623">
        <f>D52-D25-D23-D21</f>
        <v>748382</v>
      </c>
      <c r="E53" s="623">
        <f>E52-E25-E23-E21</f>
        <v>1272798</v>
      </c>
      <c r="F53" s="623">
        <f>F52-F25-F23-F21</f>
        <v>1599456</v>
      </c>
      <c r="G53" s="437"/>
      <c r="H53" s="437"/>
      <c r="I53" s="437"/>
      <c r="J53" s="437"/>
      <c r="K53" s="437"/>
      <c r="L53" s="437"/>
      <c r="M53" s="437"/>
      <c r="N53" s="437"/>
      <c r="O53" s="437"/>
      <c r="P53" s="672"/>
      <c r="Q53" s="692"/>
      <c r="R53" s="32"/>
      <c r="S53" s="32"/>
      <c r="T53" s="32"/>
      <c r="U53" s="32"/>
      <c r="V53" s="32"/>
      <c r="W53" s="32"/>
      <c r="X53" s="32"/>
      <c r="Y53" s="32"/>
    </row>
    <row r="54" spans="1:25" ht="3" customHeight="1" thickBot="1">
      <c r="A54" s="831"/>
      <c r="B54" s="838"/>
      <c r="C54" s="624"/>
      <c r="D54" s="623">
        <f>D53+3680</f>
        <v>752062</v>
      </c>
      <c r="E54" s="623">
        <f>E53+4000</f>
        <v>1276798</v>
      </c>
      <c r="F54" s="623">
        <f>F53+1120</f>
        <v>1600576</v>
      </c>
      <c r="G54" s="625"/>
      <c r="H54" s="625"/>
      <c r="I54" s="625"/>
      <c r="J54" s="625"/>
      <c r="K54" s="625"/>
      <c r="L54" s="625"/>
      <c r="M54" s="625"/>
      <c r="N54" s="625"/>
      <c r="O54" s="625"/>
      <c r="P54" s="673"/>
      <c r="Q54" s="692"/>
      <c r="R54" s="32"/>
      <c r="S54" s="32"/>
      <c r="T54" s="32"/>
      <c r="U54" s="32"/>
      <c r="V54" s="32"/>
      <c r="W54" s="32"/>
      <c r="X54" s="32"/>
      <c r="Y54" s="32"/>
    </row>
    <row r="55" spans="1:25" ht="15" thickBot="1">
      <c r="A55" s="831"/>
      <c r="B55" s="838"/>
      <c r="C55" s="679" t="s">
        <v>71</v>
      </c>
      <c r="D55" s="680">
        <f>D10+D21+D22+D25</f>
        <v>811657</v>
      </c>
      <c r="E55" s="681">
        <f>E10+E21+E22+E25</f>
        <v>2613194</v>
      </c>
      <c r="F55" s="682">
        <f>F10+F21+F22+F25</f>
        <v>3493382</v>
      </c>
      <c r="G55" s="682">
        <f aca="true" t="shared" si="7" ref="G55:N55">G10+G21+G22+G25+G28</f>
        <v>3538596</v>
      </c>
      <c r="H55" s="682">
        <f t="shared" si="7"/>
        <v>3316588</v>
      </c>
      <c r="I55" s="682">
        <f t="shared" si="7"/>
        <v>3495856</v>
      </c>
      <c r="J55" s="682">
        <f t="shared" si="7"/>
        <v>3590156</v>
      </c>
      <c r="K55" s="682">
        <f t="shared" si="7"/>
        <v>2912460</v>
      </c>
      <c r="L55" s="682">
        <f t="shared" si="7"/>
        <v>3835714</v>
      </c>
      <c r="M55" s="682">
        <f t="shared" si="7"/>
        <v>3991609</v>
      </c>
      <c r="N55" s="682">
        <f t="shared" si="7"/>
        <v>3825393</v>
      </c>
      <c r="O55" s="683">
        <f>O10+O21+O22+O25+O28</f>
        <v>4174994</v>
      </c>
      <c r="P55" s="684">
        <f>SUM(D55+E55+F55+G55+H55+I55+J55+K55+L55+M55+N55+O55)</f>
        <v>39599599</v>
      </c>
      <c r="Q55" s="692"/>
      <c r="R55" s="32"/>
      <c r="S55" s="32"/>
      <c r="T55" s="32"/>
      <c r="U55" s="32"/>
      <c r="V55" s="32"/>
      <c r="W55" s="32"/>
      <c r="X55" s="32"/>
      <c r="Y55" s="32"/>
    </row>
    <row r="56" spans="1:25" ht="15" thickBot="1">
      <c r="A56" s="831"/>
      <c r="B56" s="838"/>
      <c r="C56" s="679" t="s">
        <v>70</v>
      </c>
      <c r="D56" s="685">
        <f aca="true" t="shared" si="8" ref="D56:N56">SUM(D30:D31,D24,D19:D20,D16:D17,D13,D11,D6:D9)</f>
        <v>414223</v>
      </c>
      <c r="E56" s="686">
        <f t="shared" si="8"/>
        <v>882744</v>
      </c>
      <c r="F56" s="687">
        <f t="shared" si="8"/>
        <v>1103976</v>
      </c>
      <c r="G56" s="687">
        <f t="shared" si="8"/>
        <v>1023829</v>
      </c>
      <c r="H56" s="687">
        <f t="shared" si="8"/>
        <v>1008250</v>
      </c>
      <c r="I56" s="687">
        <f t="shared" si="8"/>
        <v>1359251</v>
      </c>
      <c r="J56" s="687">
        <f t="shared" si="8"/>
        <v>1497500</v>
      </c>
      <c r="K56" s="687">
        <f t="shared" si="8"/>
        <v>982409</v>
      </c>
      <c r="L56" s="687">
        <f t="shared" si="8"/>
        <v>1379097</v>
      </c>
      <c r="M56" s="687">
        <f t="shared" si="8"/>
        <v>1372957</v>
      </c>
      <c r="N56" s="687">
        <f t="shared" si="8"/>
        <v>1559358</v>
      </c>
      <c r="O56" s="688">
        <f>SUM(O30:O31,O24,O19:O20,O16:O17,O13,O11,O6:O9)</f>
        <v>1456644</v>
      </c>
      <c r="P56" s="684">
        <f>SUM(D56+E56+F56+G56+H56+I56+J56+K56+L56+M56+N56+O56)</f>
        <v>14040238</v>
      </c>
      <c r="Q56" s="692"/>
      <c r="R56" s="32"/>
      <c r="S56" s="32"/>
      <c r="T56" s="32"/>
      <c r="U56" s="32"/>
      <c r="V56" s="32"/>
      <c r="W56" s="32"/>
      <c r="X56" s="32"/>
      <c r="Y56" s="32"/>
    </row>
    <row r="57" spans="1:25" ht="15" thickBot="1">
      <c r="A57" s="832"/>
      <c r="B57" s="839"/>
      <c r="C57" s="689" t="s">
        <v>72</v>
      </c>
      <c r="D57" s="680">
        <f>D52-D55-D56</f>
        <v>143137</v>
      </c>
      <c r="E57" s="681">
        <f>E52-E55-E56</f>
        <v>147460</v>
      </c>
      <c r="F57" s="682">
        <f>F52-F55-F56</f>
        <v>149964</v>
      </c>
      <c r="G57" s="682">
        <f aca="true" t="shared" si="9" ref="G57:N57">G52-G55-G56</f>
        <v>17132</v>
      </c>
      <c r="H57" s="682">
        <f t="shared" si="9"/>
        <v>19635</v>
      </c>
      <c r="I57" s="682">
        <f t="shared" si="9"/>
        <v>22105</v>
      </c>
      <c r="J57" s="682">
        <f t="shared" si="9"/>
        <v>27764</v>
      </c>
      <c r="K57" s="682">
        <f t="shared" si="9"/>
        <v>24982</v>
      </c>
      <c r="L57" s="682">
        <f t="shared" si="9"/>
        <v>32043</v>
      </c>
      <c r="M57" s="682">
        <f>M52-M55-M56</f>
        <v>40151</v>
      </c>
      <c r="N57" s="682">
        <f t="shared" si="9"/>
        <v>49588</v>
      </c>
      <c r="O57" s="683">
        <f>O52-O55-O56</f>
        <v>60996</v>
      </c>
      <c r="P57" s="690">
        <f>SUM(D57+E57+F57+G57+H57+I57+J57+K57+L57+M57+N57+O57)</f>
        <v>734957</v>
      </c>
      <c r="Q57" s="69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90"/>
      <c r="B58" s="90"/>
      <c r="C58" s="90" t="s">
        <v>71</v>
      </c>
      <c r="D58" s="95">
        <f>D10+D21+D22+D25+D28</f>
        <v>926155</v>
      </c>
      <c r="E58" s="95">
        <f aca="true" t="shared" si="10" ref="E58:N58">E10+E21+E22+E25+E28</f>
        <v>2724509</v>
      </c>
      <c r="F58" s="95">
        <f>F10+F21+F22+F25+F28</f>
        <v>3612571</v>
      </c>
      <c r="G58" s="95">
        <f t="shared" si="10"/>
        <v>3538596</v>
      </c>
      <c r="H58" s="95">
        <f t="shared" si="10"/>
        <v>3316588</v>
      </c>
      <c r="I58" s="95">
        <f t="shared" si="10"/>
        <v>3495856</v>
      </c>
      <c r="J58" s="95">
        <f t="shared" si="10"/>
        <v>3590156</v>
      </c>
      <c r="K58" s="95">
        <f t="shared" si="10"/>
        <v>2912460</v>
      </c>
      <c r="L58" s="95">
        <f t="shared" si="10"/>
        <v>3835714</v>
      </c>
      <c r="M58" s="95">
        <f t="shared" si="10"/>
        <v>3991609</v>
      </c>
      <c r="N58" s="95">
        <f t="shared" si="10"/>
        <v>3825393</v>
      </c>
      <c r="O58" s="95">
        <f>O10+O21+O22+O25+O28</f>
        <v>4174994</v>
      </c>
      <c r="P58" s="96">
        <f>D58+E58+F58+G58+H58+I58+J58+K58+L58+M58+N58+O58</f>
        <v>39944601</v>
      </c>
      <c r="Q58" s="69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90"/>
      <c r="B59" s="90"/>
      <c r="C59" s="90"/>
      <c r="D59" s="90"/>
      <c r="E59" s="90"/>
      <c r="F59" s="90"/>
      <c r="G59" s="32"/>
      <c r="H59" s="32"/>
      <c r="I59" s="32"/>
      <c r="J59" s="32"/>
      <c r="K59" s="32"/>
      <c r="L59" s="32"/>
      <c r="M59" s="32"/>
      <c r="N59" s="32"/>
      <c r="O59" s="32"/>
      <c r="P59" s="96">
        <f>D59+E59+F59+G59+H59+I59+J59+K59+L59+M59+N59+O59</f>
        <v>0</v>
      </c>
      <c r="Q59" s="69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90"/>
      <c r="B60" s="90"/>
      <c r="C60" s="90" t="s">
        <v>72</v>
      </c>
      <c r="D60" s="95">
        <f>D12+D14+D15+D18+D23+D26+D35+D36+D37+D38+D39+D40+D41+D42+D43+D44+D45+D46+D47+D48+D49+D50</f>
        <v>28639</v>
      </c>
      <c r="E60" s="95">
        <f aca="true" t="shared" si="11" ref="E60:O60">E12+E14+E15+E18+E23+E26+E35+E36+E37+E38+E39+E40+E41+E42+E43+E44+E45+E46+E47+E48+E49+E50</f>
        <v>36145</v>
      </c>
      <c r="F60" s="95">
        <f t="shared" si="11"/>
        <v>30775</v>
      </c>
      <c r="G60" s="95">
        <f t="shared" si="11"/>
        <v>17132</v>
      </c>
      <c r="H60" s="95">
        <f t="shared" si="11"/>
        <v>19635</v>
      </c>
      <c r="I60" s="95">
        <f t="shared" si="11"/>
        <v>22105</v>
      </c>
      <c r="J60" s="95">
        <f t="shared" si="11"/>
        <v>68324</v>
      </c>
      <c r="K60" s="95">
        <f t="shared" si="11"/>
        <v>34182</v>
      </c>
      <c r="L60" s="95">
        <f t="shared" si="11"/>
        <v>32043</v>
      </c>
      <c r="M60" s="95">
        <f t="shared" si="11"/>
        <v>40151</v>
      </c>
      <c r="N60" s="95">
        <f t="shared" si="11"/>
        <v>49588</v>
      </c>
      <c r="O60" s="95">
        <f t="shared" si="11"/>
        <v>60996</v>
      </c>
      <c r="P60" s="96">
        <f>D60+E60+F60+G60+H60+I60+J60+K60+L60+M60+N60+O60</f>
        <v>439715</v>
      </c>
      <c r="Q60" s="692"/>
      <c r="R60" s="32"/>
      <c r="S60" s="32"/>
      <c r="T60" s="32"/>
      <c r="U60" s="32"/>
      <c r="V60" s="32"/>
      <c r="W60" s="32"/>
      <c r="X60" s="32"/>
      <c r="Y60" s="32"/>
    </row>
    <row r="61" spans="1:25" ht="12.75">
      <c r="A61" s="90"/>
      <c r="B61" s="90"/>
      <c r="C61" s="90"/>
      <c r="D61" s="90"/>
      <c r="E61" s="90"/>
      <c r="F61" s="90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692"/>
      <c r="R61" s="32"/>
      <c r="S61" s="32"/>
      <c r="T61" s="32"/>
      <c r="U61" s="32"/>
      <c r="V61" s="32"/>
      <c r="W61" s="32"/>
      <c r="X61" s="32"/>
      <c r="Y61" s="32"/>
    </row>
    <row r="62" spans="1:25" ht="12.75">
      <c r="A62" s="90"/>
      <c r="B62" s="90"/>
      <c r="C62" s="90"/>
      <c r="D62" s="90"/>
      <c r="E62" s="90"/>
      <c r="F62" s="90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692"/>
      <c r="R62" s="32"/>
      <c r="S62" s="32"/>
      <c r="T62" s="32"/>
      <c r="U62" s="32"/>
      <c r="V62" s="32"/>
      <c r="W62" s="32"/>
      <c r="X62" s="32"/>
      <c r="Y62" s="32"/>
    </row>
    <row r="63" spans="1:25" ht="12.75">
      <c r="A63" s="90"/>
      <c r="B63" s="90"/>
      <c r="C63" s="90"/>
      <c r="D63" s="90"/>
      <c r="E63" s="90"/>
      <c r="F63" s="90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692"/>
      <c r="R63" s="32"/>
      <c r="S63" s="32"/>
      <c r="T63" s="32"/>
      <c r="U63" s="32"/>
      <c r="V63" s="32"/>
      <c r="W63" s="32"/>
      <c r="X63" s="32"/>
      <c r="Y63" s="32"/>
    </row>
    <row r="64" spans="1:25" ht="12.75">
      <c r="A64" s="90"/>
      <c r="B64" s="90"/>
      <c r="C64" s="90"/>
      <c r="D64" s="90"/>
      <c r="E64" s="90"/>
      <c r="F64" s="90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692"/>
      <c r="R64" s="32"/>
      <c r="S64" s="32"/>
      <c r="T64" s="32"/>
      <c r="U64" s="32"/>
      <c r="V64" s="32"/>
      <c r="W64" s="32"/>
      <c r="X64" s="32"/>
      <c r="Y64" s="32"/>
    </row>
    <row r="65" spans="1:25" ht="12.75">
      <c r="A65" s="90"/>
      <c r="B65" s="90"/>
      <c r="C65" s="90"/>
      <c r="D65" s="90"/>
      <c r="E65" s="90"/>
      <c r="F65" s="90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692"/>
      <c r="R65" s="32"/>
      <c r="S65" s="32"/>
      <c r="T65" s="32"/>
      <c r="U65" s="32"/>
      <c r="V65" s="32"/>
      <c r="W65" s="32"/>
      <c r="X65" s="32"/>
      <c r="Y65" s="32"/>
    </row>
    <row r="66" spans="1:25" ht="12.75">
      <c r="A66" s="90"/>
      <c r="B66" s="90"/>
      <c r="C66" s="90"/>
      <c r="D66" s="90"/>
      <c r="E66" s="90"/>
      <c r="F66" s="90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692"/>
      <c r="R66" s="32"/>
      <c r="S66" s="32"/>
      <c r="T66" s="32"/>
      <c r="U66" s="32"/>
      <c r="V66" s="32"/>
      <c r="W66" s="32"/>
      <c r="X66" s="32"/>
      <c r="Y66" s="32"/>
    </row>
    <row r="67" spans="1:25" ht="12.75">
      <c r="A67" s="90"/>
      <c r="B67" s="90"/>
      <c r="C67" s="90"/>
      <c r="D67" s="90"/>
      <c r="E67" s="90"/>
      <c r="F67" s="90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692"/>
      <c r="R67" s="32"/>
      <c r="S67" s="32"/>
      <c r="T67" s="32"/>
      <c r="U67" s="32"/>
      <c r="V67" s="32"/>
      <c r="W67" s="32"/>
      <c r="X67" s="32"/>
      <c r="Y67" s="32"/>
    </row>
    <row r="68" spans="1:25" ht="12.75">
      <c r="A68" s="90"/>
      <c r="B68" s="90"/>
      <c r="C68" s="90"/>
      <c r="D68" s="90"/>
      <c r="E68" s="90"/>
      <c r="F68" s="90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692"/>
      <c r="R68" s="32"/>
      <c r="S68" s="32"/>
      <c r="T68" s="32"/>
      <c r="U68" s="32"/>
      <c r="V68" s="32"/>
      <c r="W68" s="32"/>
      <c r="X68" s="32"/>
      <c r="Y68" s="32"/>
    </row>
    <row r="69" spans="1:25" ht="12.75">
      <c r="A69" s="90"/>
      <c r="B69" s="90"/>
      <c r="C69" s="90"/>
      <c r="D69" s="90"/>
      <c r="E69" s="90"/>
      <c r="F69" s="90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692"/>
      <c r="R69" s="32"/>
      <c r="S69" s="32"/>
      <c r="T69" s="32"/>
      <c r="U69" s="32"/>
      <c r="V69" s="32"/>
      <c r="W69" s="32"/>
      <c r="X69" s="32"/>
      <c r="Y69" s="32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  <row r="72" spans="1:6" ht="12.75">
      <c r="A72" s="97"/>
      <c r="B72" s="97"/>
      <c r="C72" s="97"/>
      <c r="D72" s="97"/>
      <c r="E72" s="97"/>
      <c r="F72" s="97"/>
    </row>
    <row r="73" spans="1:6" ht="12.75">
      <c r="A73" s="97"/>
      <c r="B73" s="97"/>
      <c r="C73" s="97"/>
      <c r="D73" s="97"/>
      <c r="E73" s="97"/>
      <c r="F73" s="97"/>
    </row>
    <row r="74" spans="1:6" ht="12.75">
      <c r="A74" s="97"/>
      <c r="B74" s="97"/>
      <c r="C74" s="97"/>
      <c r="D74" s="97"/>
      <c r="E74" s="97"/>
      <c r="F74" s="97"/>
    </row>
    <row r="75" spans="1:6" ht="12.75">
      <c r="A75" s="97"/>
      <c r="B75" s="97"/>
      <c r="C75" s="97"/>
      <c r="D75" s="97"/>
      <c r="E75" s="97"/>
      <c r="F75" s="97"/>
    </row>
    <row r="76" spans="1:6" ht="12.75">
      <c r="A76" s="97"/>
      <c r="B76" s="97"/>
      <c r="C76" s="97"/>
      <c r="D76" s="97"/>
      <c r="E76" s="97"/>
      <c r="F76" s="97"/>
    </row>
    <row r="77" spans="1:6" ht="12.75">
      <c r="A77" s="97"/>
      <c r="B77" s="97"/>
      <c r="C77" s="97"/>
      <c r="D77" s="97"/>
      <c r="E77" s="97"/>
      <c r="F77" s="97"/>
    </row>
    <row r="78" spans="1:6" ht="12.75">
      <c r="A78" s="97"/>
      <c r="B78" s="97"/>
      <c r="C78" s="97"/>
      <c r="D78" s="97"/>
      <c r="E78" s="97"/>
      <c r="F78" s="97"/>
    </row>
    <row r="79" spans="1:6" ht="12.75">
      <c r="A79" s="97"/>
      <c r="B79" s="97"/>
      <c r="C79" s="97"/>
      <c r="D79" s="97"/>
      <c r="E79" s="97"/>
      <c r="F79" s="97"/>
    </row>
    <row r="80" spans="1:6" ht="12.75">
      <c r="A80" s="97"/>
      <c r="B80" s="97"/>
      <c r="C80" s="97"/>
      <c r="D80" s="97"/>
      <c r="E80" s="97"/>
      <c r="F80" s="97"/>
    </row>
    <row r="81" spans="1:6" ht="12.75">
      <c r="A81" s="97"/>
      <c r="B81" s="97"/>
      <c r="C81" s="97"/>
      <c r="D81" s="97"/>
      <c r="E81" s="97"/>
      <c r="F81" s="97"/>
    </row>
    <row r="82" spans="1:6" ht="12.75">
      <c r="A82" s="97"/>
      <c r="B82" s="97"/>
      <c r="C82" s="97"/>
      <c r="D82" s="97"/>
      <c r="E82" s="97"/>
      <c r="F82" s="97"/>
    </row>
    <row r="83" spans="1:6" ht="12.75">
      <c r="A83" s="97"/>
      <c r="B83" s="97"/>
      <c r="C83" s="97"/>
      <c r="D83" s="97"/>
      <c r="E83" s="97"/>
      <c r="F83" s="97"/>
    </row>
  </sheetData>
  <sheetProtection/>
  <mergeCells count="13">
    <mergeCell ref="B33:J33"/>
    <mergeCell ref="A22:A23"/>
    <mergeCell ref="A25:A26"/>
    <mergeCell ref="A52:A57"/>
    <mergeCell ref="B52:B57"/>
    <mergeCell ref="B5:F5"/>
    <mergeCell ref="B22:B23"/>
    <mergeCell ref="B25:B26"/>
    <mergeCell ref="A1:F1"/>
    <mergeCell ref="A2:F2"/>
    <mergeCell ref="B3:B4"/>
    <mergeCell ref="C3:C4"/>
    <mergeCell ref="A3:A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71"/>
  <sheetViews>
    <sheetView zoomScalePageLayoutView="0" workbookViewId="0" topLeftCell="A4">
      <selection activeCell="A11" sqref="A11:IV11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875" style="17" customWidth="1"/>
    <col min="4" max="4" width="12.625" style="17" customWidth="1"/>
    <col min="5" max="5" width="12.75390625" style="17" customWidth="1"/>
    <col min="6" max="6" width="13.25390625" style="17" customWidth="1"/>
    <col min="7" max="7" width="17.375" style="17" customWidth="1"/>
    <col min="8" max="9" width="12.875" style="17" customWidth="1"/>
    <col min="10" max="10" width="12.625" style="17" customWidth="1"/>
    <col min="11" max="11" width="13.25390625" style="17" customWidth="1"/>
    <col min="12" max="12" width="13.00390625" style="17" customWidth="1"/>
    <col min="13" max="13" width="13.2539062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6384" width="9.125" style="17" customWidth="1"/>
  </cols>
  <sheetData>
    <row r="1" spans="1:6" ht="35.25" customHeight="1">
      <c r="A1" s="824"/>
      <c r="B1" s="825"/>
      <c r="C1" s="825"/>
      <c r="D1" s="825"/>
      <c r="E1" s="825"/>
      <c r="F1" s="825"/>
    </row>
    <row r="2" spans="1:6" ht="60" customHeight="1" thickBot="1">
      <c r="A2" s="826" t="s">
        <v>189</v>
      </c>
      <c r="B2" s="827"/>
      <c r="C2" s="827"/>
      <c r="D2" s="827"/>
      <c r="E2" s="827"/>
      <c r="F2" s="827"/>
    </row>
    <row r="3" spans="1:16" ht="20.25" customHeight="1" thickBot="1">
      <c r="A3" s="822" t="s">
        <v>0</v>
      </c>
      <c r="B3" s="822" t="s">
        <v>1</v>
      </c>
      <c r="C3" s="822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2011</v>
      </c>
    </row>
    <row r="4" spans="1:16" ht="24" customHeight="1" thickBot="1">
      <c r="A4" s="823"/>
      <c r="B4" s="823"/>
      <c r="C4" s="823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796"/>
      <c r="C5" s="797"/>
      <c r="D5" s="797"/>
      <c r="E5" s="797"/>
      <c r="F5" s="797"/>
      <c r="P5" s="657"/>
    </row>
    <row r="6" spans="1:16" s="121" customFormat="1" ht="15" customHeight="1">
      <c r="A6" s="113">
        <v>1</v>
      </c>
      <c r="B6" s="595" t="s">
        <v>69</v>
      </c>
      <c r="C6" s="596" t="s">
        <v>70</v>
      </c>
      <c r="D6" s="627">
        <v>822</v>
      </c>
      <c r="E6" s="144">
        <v>849</v>
      </c>
      <c r="F6" s="141">
        <v>640</v>
      </c>
      <c r="G6" s="144">
        <v>491</v>
      </c>
      <c r="H6" s="643">
        <v>158</v>
      </c>
      <c r="I6" s="144">
        <v>105</v>
      </c>
      <c r="J6" s="643">
        <v>64</v>
      </c>
      <c r="K6" s="144">
        <v>80</v>
      </c>
      <c r="L6" s="643">
        <v>137</v>
      </c>
      <c r="M6" s="144">
        <v>159</v>
      </c>
      <c r="N6" s="643">
        <v>979</v>
      </c>
      <c r="O6" s="649">
        <v>699</v>
      </c>
      <c r="P6" s="656">
        <f aca="true" t="shared" si="0" ref="P6:P27">SUM(D6+E6+F6+G6+H6+I6+J6+K6+L6+M6+N6+O6)</f>
        <v>5183</v>
      </c>
    </row>
    <row r="7" spans="1:16" s="121" customFormat="1" ht="12" customHeight="1">
      <c r="A7" s="113">
        <v>2</v>
      </c>
      <c r="B7" s="595" t="s">
        <v>32</v>
      </c>
      <c r="C7" s="596" t="s">
        <v>70</v>
      </c>
      <c r="D7" s="628">
        <v>4100</v>
      </c>
      <c r="E7" s="119">
        <v>4350</v>
      </c>
      <c r="F7" s="118">
        <v>3250</v>
      </c>
      <c r="G7" s="119">
        <v>3850</v>
      </c>
      <c r="H7" s="644">
        <v>3650</v>
      </c>
      <c r="I7" s="119">
        <v>3050</v>
      </c>
      <c r="J7" s="644">
        <v>4150</v>
      </c>
      <c r="K7" s="119">
        <v>5250</v>
      </c>
      <c r="L7" s="644">
        <v>2100</v>
      </c>
      <c r="M7" s="119">
        <v>750</v>
      </c>
      <c r="N7" s="644">
        <v>800</v>
      </c>
      <c r="O7" s="629">
        <v>1700</v>
      </c>
      <c r="P7" s="652">
        <f t="shared" si="0"/>
        <v>37000</v>
      </c>
    </row>
    <row r="8" spans="1:16" s="121" customFormat="1" ht="14.25" customHeight="1">
      <c r="A8" s="113">
        <v>3</v>
      </c>
      <c r="B8" s="595" t="s">
        <v>48</v>
      </c>
      <c r="C8" s="596" t="s">
        <v>70</v>
      </c>
      <c r="D8" s="628">
        <v>5449</v>
      </c>
      <c r="E8" s="119">
        <v>4201</v>
      </c>
      <c r="F8" s="118">
        <v>3507</v>
      </c>
      <c r="G8" s="119">
        <v>4100</v>
      </c>
      <c r="H8" s="644">
        <v>3742</v>
      </c>
      <c r="I8" s="119">
        <v>4262</v>
      </c>
      <c r="J8" s="644">
        <v>6404</v>
      </c>
      <c r="K8" s="119">
        <v>5932</v>
      </c>
      <c r="L8" s="644">
        <v>3825</v>
      </c>
      <c r="M8" s="119">
        <v>3324</v>
      </c>
      <c r="N8" s="644">
        <v>3568</v>
      </c>
      <c r="O8" s="629">
        <v>3702</v>
      </c>
      <c r="P8" s="652">
        <f t="shared" si="0"/>
        <v>52016</v>
      </c>
    </row>
    <row r="9" spans="1:16" s="121" customFormat="1" ht="18" customHeight="1">
      <c r="A9" s="122">
        <v>4</v>
      </c>
      <c r="B9" s="595" t="s">
        <v>36</v>
      </c>
      <c r="C9" s="596" t="s">
        <v>70</v>
      </c>
      <c r="D9" s="628">
        <v>1759</v>
      </c>
      <c r="E9" s="119">
        <v>1635</v>
      </c>
      <c r="F9" s="118">
        <v>1365</v>
      </c>
      <c r="G9" s="119">
        <v>980</v>
      </c>
      <c r="H9" s="644">
        <v>361</v>
      </c>
      <c r="I9" s="119">
        <v>582</v>
      </c>
      <c r="J9" s="644">
        <v>765</v>
      </c>
      <c r="K9" s="119">
        <v>608</v>
      </c>
      <c r="L9" s="644">
        <v>436</v>
      </c>
      <c r="M9" s="119">
        <v>473</v>
      </c>
      <c r="N9" s="644">
        <v>1006</v>
      </c>
      <c r="O9" s="629">
        <v>1345</v>
      </c>
      <c r="P9" s="652">
        <f t="shared" si="0"/>
        <v>11315</v>
      </c>
    </row>
    <row r="10" spans="1:16" s="121" customFormat="1" ht="13.5" customHeight="1">
      <c r="A10" s="122">
        <v>5</v>
      </c>
      <c r="B10" s="595" t="s">
        <v>193</v>
      </c>
      <c r="C10" s="596" t="s">
        <v>71</v>
      </c>
      <c r="D10" s="628">
        <v>138378</v>
      </c>
      <c r="E10" s="119">
        <v>136214</v>
      </c>
      <c r="F10" s="118">
        <v>146262</v>
      </c>
      <c r="G10" s="119">
        <v>117905</v>
      </c>
      <c r="H10" s="644">
        <v>66820</v>
      </c>
      <c r="I10" s="119">
        <v>113293</v>
      </c>
      <c r="J10" s="644">
        <v>111775</v>
      </c>
      <c r="K10" s="119">
        <v>116465</v>
      </c>
      <c r="L10" s="644">
        <v>122230</v>
      </c>
      <c r="M10" s="119">
        <v>130958</v>
      </c>
      <c r="N10" s="644">
        <v>119109</v>
      </c>
      <c r="O10" s="629">
        <v>137314</v>
      </c>
      <c r="P10" s="652">
        <f t="shared" si="0"/>
        <v>1456723</v>
      </c>
    </row>
    <row r="11" spans="1:16" s="121" customFormat="1" ht="18" customHeight="1">
      <c r="A11" s="122">
        <v>6</v>
      </c>
      <c r="B11" s="595" t="s">
        <v>191</v>
      </c>
      <c r="C11" s="596" t="s">
        <v>70</v>
      </c>
      <c r="D11" s="628">
        <v>21903</v>
      </c>
      <c r="E11" s="119">
        <v>23552</v>
      </c>
      <c r="F11" s="118">
        <v>20352</v>
      </c>
      <c r="G11" s="119">
        <v>18822</v>
      </c>
      <c r="H11" s="644">
        <v>14967</v>
      </c>
      <c r="I11" s="119">
        <v>10813</v>
      </c>
      <c r="J11" s="644">
        <v>10853</v>
      </c>
      <c r="K11" s="119">
        <v>13600</v>
      </c>
      <c r="L11" s="644">
        <v>16579</v>
      </c>
      <c r="M11" s="119">
        <v>14400</v>
      </c>
      <c r="N11" s="644">
        <v>24912</v>
      </c>
      <c r="O11" s="629">
        <v>26233</v>
      </c>
      <c r="P11" s="652">
        <f t="shared" si="0"/>
        <v>216986</v>
      </c>
    </row>
    <row r="12" spans="1:16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629">
        <v>0</v>
      </c>
      <c r="F12" s="118">
        <v>0</v>
      </c>
      <c r="G12" s="638">
        <v>3700</v>
      </c>
      <c r="H12" s="645">
        <v>0</v>
      </c>
      <c r="I12" s="638">
        <v>0</v>
      </c>
      <c r="J12" s="645">
        <v>0</v>
      </c>
      <c r="K12" s="638">
        <v>0</v>
      </c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3700</v>
      </c>
    </row>
    <row r="13" spans="1:16" s="121" customFormat="1" ht="26.25" customHeight="1">
      <c r="A13" s="122">
        <v>8</v>
      </c>
      <c r="B13" s="595" t="s">
        <v>35</v>
      </c>
      <c r="C13" s="596" t="s">
        <v>70</v>
      </c>
      <c r="D13" s="629">
        <v>980</v>
      </c>
      <c r="E13" s="119">
        <v>640</v>
      </c>
      <c r="F13" s="118">
        <v>750</v>
      </c>
      <c r="G13" s="638">
        <v>550</v>
      </c>
      <c r="H13" s="645">
        <v>720</v>
      </c>
      <c r="I13" s="638">
        <v>440</v>
      </c>
      <c r="J13" s="645">
        <v>390</v>
      </c>
      <c r="K13" s="638">
        <v>250</v>
      </c>
      <c r="L13" s="645">
        <v>280</v>
      </c>
      <c r="M13" s="638">
        <v>490</v>
      </c>
      <c r="N13" s="645">
        <v>540</v>
      </c>
      <c r="O13" s="629">
        <v>0</v>
      </c>
      <c r="P13" s="652">
        <f t="shared" si="0"/>
        <v>6030</v>
      </c>
    </row>
    <row r="14" spans="1:16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629">
        <v>0</v>
      </c>
      <c r="F14" s="118">
        <v>1762</v>
      </c>
      <c r="G14" s="638">
        <v>0</v>
      </c>
      <c r="H14" s="645">
        <v>0</v>
      </c>
      <c r="I14" s="638">
        <v>0</v>
      </c>
      <c r="J14" s="645">
        <v>0</v>
      </c>
      <c r="K14" s="638">
        <v>0</v>
      </c>
      <c r="L14" s="645">
        <v>839</v>
      </c>
      <c r="M14" s="638">
        <v>0</v>
      </c>
      <c r="N14" s="645">
        <v>0</v>
      </c>
      <c r="O14" s="629">
        <v>1453</v>
      </c>
      <c r="P14" s="652">
        <f t="shared" si="0"/>
        <v>4054</v>
      </c>
    </row>
    <row r="15" spans="1:16" s="121" customFormat="1" ht="17.25" customHeight="1">
      <c r="A15" s="122">
        <v>10</v>
      </c>
      <c r="B15" s="595" t="s">
        <v>21</v>
      </c>
      <c r="C15" s="596" t="s">
        <v>72</v>
      </c>
      <c r="D15" s="629">
        <v>4280</v>
      </c>
      <c r="E15" s="119">
        <v>6020</v>
      </c>
      <c r="F15" s="118">
        <v>3700</v>
      </c>
      <c r="G15" s="638">
        <v>3880</v>
      </c>
      <c r="H15" s="645">
        <v>3800</v>
      </c>
      <c r="I15" s="638">
        <v>3500</v>
      </c>
      <c r="J15" s="645">
        <v>2480</v>
      </c>
      <c r="K15" s="638">
        <v>2260</v>
      </c>
      <c r="L15" s="645">
        <v>4840</v>
      </c>
      <c r="M15" s="638">
        <v>6260</v>
      </c>
      <c r="N15" s="645">
        <v>7720</v>
      </c>
      <c r="O15" s="629">
        <v>7260</v>
      </c>
      <c r="P15" s="652">
        <f t="shared" si="0"/>
        <v>56000</v>
      </c>
    </row>
    <row r="16" spans="1:16" s="121" customFormat="1" ht="15.75" customHeight="1">
      <c r="A16" s="122">
        <v>11</v>
      </c>
      <c r="B16" s="595" t="s">
        <v>63</v>
      </c>
      <c r="C16" s="596" t="s">
        <v>70</v>
      </c>
      <c r="D16" s="629">
        <v>449530</v>
      </c>
      <c r="E16" s="119">
        <v>1319282</v>
      </c>
      <c r="F16" s="118">
        <v>1513510</v>
      </c>
      <c r="G16" s="638">
        <v>1321321</v>
      </c>
      <c r="H16" s="645">
        <v>1175040</v>
      </c>
      <c r="I16" s="638">
        <v>1274726</v>
      </c>
      <c r="J16" s="645">
        <v>1267190</v>
      </c>
      <c r="K16" s="638">
        <v>766780</v>
      </c>
      <c r="L16" s="645">
        <v>1207251</v>
      </c>
      <c r="M16" s="638">
        <v>1233506</v>
      </c>
      <c r="N16" s="645">
        <v>1171756</v>
      </c>
      <c r="O16" s="629">
        <v>1219169</v>
      </c>
      <c r="P16" s="652">
        <f t="shared" si="0"/>
        <v>13919061</v>
      </c>
    </row>
    <row r="17" spans="1:16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629">
        <v>0</v>
      </c>
      <c r="F17" s="125">
        <v>440</v>
      </c>
      <c r="G17" s="638">
        <v>0</v>
      </c>
      <c r="H17" s="645">
        <v>2880</v>
      </c>
      <c r="I17" s="638">
        <v>6040</v>
      </c>
      <c r="J17" s="645">
        <v>5840</v>
      </c>
      <c r="K17" s="638">
        <v>5760</v>
      </c>
      <c r="L17" s="645">
        <v>2880</v>
      </c>
      <c r="M17" s="638">
        <v>0</v>
      </c>
      <c r="N17" s="645">
        <v>0</v>
      </c>
      <c r="O17" s="629">
        <v>720</v>
      </c>
      <c r="P17" s="652">
        <f t="shared" si="0"/>
        <v>24560</v>
      </c>
    </row>
    <row r="18" spans="1:16" s="121" customFormat="1" ht="16.5" customHeight="1">
      <c r="A18" s="122">
        <v>14</v>
      </c>
      <c r="B18" s="595" t="s">
        <v>31</v>
      </c>
      <c r="C18" s="596" t="s">
        <v>70</v>
      </c>
      <c r="D18" s="629">
        <v>248</v>
      </c>
      <c r="E18" s="638">
        <v>349</v>
      </c>
      <c r="F18" s="125">
        <v>0</v>
      </c>
      <c r="G18" s="638">
        <v>205</v>
      </c>
      <c r="H18" s="645">
        <v>227</v>
      </c>
      <c r="I18" s="638">
        <v>177</v>
      </c>
      <c r="J18" s="645">
        <v>0</v>
      </c>
      <c r="K18" s="638">
        <v>96</v>
      </c>
      <c r="L18" s="645">
        <v>169</v>
      </c>
      <c r="M18" s="638">
        <v>254</v>
      </c>
      <c r="N18" s="645">
        <v>295</v>
      </c>
      <c r="O18" s="629">
        <v>346</v>
      </c>
      <c r="P18" s="652">
        <f t="shared" si="0"/>
        <v>2366</v>
      </c>
    </row>
    <row r="19" spans="1:16" s="121" customFormat="1" ht="18.75" customHeight="1">
      <c r="A19" s="122">
        <v>15</v>
      </c>
      <c r="B19" s="599" t="s">
        <v>34</v>
      </c>
      <c r="C19" s="596" t="s">
        <v>70</v>
      </c>
      <c r="D19" s="629">
        <v>19140</v>
      </c>
      <c r="E19" s="119">
        <v>20760</v>
      </c>
      <c r="F19" s="125">
        <v>18660</v>
      </c>
      <c r="G19" s="638">
        <v>19960</v>
      </c>
      <c r="H19" s="645">
        <v>22720</v>
      </c>
      <c r="I19" s="638">
        <v>24080</v>
      </c>
      <c r="J19" s="645">
        <v>22932</v>
      </c>
      <c r="K19" s="638">
        <v>19960</v>
      </c>
      <c r="L19" s="645">
        <v>17320</v>
      </c>
      <c r="M19" s="638">
        <v>18500</v>
      </c>
      <c r="N19" s="645">
        <v>19140</v>
      </c>
      <c r="O19" s="629">
        <v>18000</v>
      </c>
      <c r="P19" s="652">
        <f t="shared" si="0"/>
        <v>241172</v>
      </c>
    </row>
    <row r="20" spans="1:16" s="121" customFormat="1" ht="16.5" customHeight="1" thickBot="1">
      <c r="A20" s="132">
        <v>16</v>
      </c>
      <c r="B20" s="600" t="s">
        <v>26</v>
      </c>
      <c r="C20" s="601" t="s">
        <v>71</v>
      </c>
      <c r="D20" s="629">
        <v>156178</v>
      </c>
      <c r="E20" s="638">
        <v>141491</v>
      </c>
      <c r="F20" s="125">
        <v>172599</v>
      </c>
      <c r="G20" s="638">
        <v>153395</v>
      </c>
      <c r="H20" s="645">
        <v>159744</v>
      </c>
      <c r="I20" s="638">
        <v>163671</v>
      </c>
      <c r="J20" s="645">
        <v>90267</v>
      </c>
      <c r="K20" s="638">
        <v>165972</v>
      </c>
      <c r="L20" s="645">
        <v>188633</v>
      </c>
      <c r="M20" s="638">
        <v>210062</v>
      </c>
      <c r="N20" s="645">
        <v>216298</v>
      </c>
      <c r="O20" s="629">
        <v>217116</v>
      </c>
      <c r="P20" s="652">
        <f t="shared" si="0"/>
        <v>2035426</v>
      </c>
    </row>
    <row r="21" spans="1:16" s="121" customFormat="1" ht="13.5" customHeight="1">
      <c r="A21" s="828">
        <v>17</v>
      </c>
      <c r="B21" s="840" t="s">
        <v>27</v>
      </c>
      <c r="C21" s="602" t="s">
        <v>71</v>
      </c>
      <c r="D21" s="629">
        <v>137298</v>
      </c>
      <c r="E21" s="638">
        <v>170496</v>
      </c>
      <c r="F21" s="125">
        <v>204812</v>
      </c>
      <c r="G21" s="638">
        <v>144279</v>
      </c>
      <c r="H21" s="645">
        <v>175026</v>
      </c>
      <c r="I21" s="638">
        <v>176630</v>
      </c>
      <c r="J21" s="645">
        <v>113112</v>
      </c>
      <c r="K21" s="638">
        <v>175794</v>
      </c>
      <c r="L21" s="645">
        <v>172381</v>
      </c>
      <c r="M21" s="638">
        <v>194302</v>
      </c>
      <c r="N21" s="645">
        <v>208450</v>
      </c>
      <c r="O21" s="629">
        <v>213254</v>
      </c>
      <c r="P21" s="652">
        <f t="shared" si="0"/>
        <v>2085834</v>
      </c>
    </row>
    <row r="22" spans="1:16" s="121" customFormat="1" ht="12.75" customHeight="1" thickBot="1">
      <c r="A22" s="829">
        <v>17</v>
      </c>
      <c r="B22" s="841" t="s">
        <v>27</v>
      </c>
      <c r="C22" s="604" t="s">
        <v>72</v>
      </c>
      <c r="D22" s="629">
        <v>12088</v>
      </c>
      <c r="E22" s="638">
        <v>18820</v>
      </c>
      <c r="F22" s="125">
        <v>15822</v>
      </c>
      <c r="G22" s="638">
        <v>12998</v>
      </c>
      <c r="H22" s="645">
        <v>13290</v>
      </c>
      <c r="I22" s="638">
        <v>12422</v>
      </c>
      <c r="J22" s="645">
        <v>9720</v>
      </c>
      <c r="K22" s="638">
        <v>11640</v>
      </c>
      <c r="L22" s="645">
        <v>14406</v>
      </c>
      <c r="M22" s="638">
        <v>16454</v>
      </c>
      <c r="N22" s="645">
        <v>19564</v>
      </c>
      <c r="O22" s="629">
        <v>17588</v>
      </c>
      <c r="P22" s="652">
        <f t="shared" si="0"/>
        <v>174812</v>
      </c>
    </row>
    <row r="23" spans="1:16" s="121" customFormat="1" ht="15" customHeight="1" thickBot="1">
      <c r="A23" s="151">
        <v>18</v>
      </c>
      <c r="B23" s="605" t="s">
        <v>46</v>
      </c>
      <c r="C23" s="606" t="s">
        <v>70</v>
      </c>
      <c r="D23" s="629">
        <v>108944</v>
      </c>
      <c r="E23" s="119">
        <v>95376</v>
      </c>
      <c r="F23" s="125">
        <v>103555</v>
      </c>
      <c r="G23" s="638">
        <v>102958</v>
      </c>
      <c r="H23" s="645">
        <v>104772</v>
      </c>
      <c r="I23" s="638">
        <v>106415</v>
      </c>
      <c r="J23" s="645">
        <v>132120</v>
      </c>
      <c r="K23" s="638">
        <v>41352</v>
      </c>
      <c r="L23" s="645">
        <v>146951</v>
      </c>
      <c r="M23" s="638">
        <v>109340</v>
      </c>
      <c r="N23" s="645">
        <v>108165</v>
      </c>
      <c r="O23" s="629">
        <v>111398</v>
      </c>
      <c r="P23" s="652">
        <f t="shared" si="0"/>
        <v>1271346</v>
      </c>
    </row>
    <row r="24" spans="1:16" s="121" customFormat="1" ht="13.5" customHeight="1">
      <c r="A24" s="828">
        <v>19</v>
      </c>
      <c r="B24" s="840" t="s">
        <v>28</v>
      </c>
      <c r="C24" s="602" t="s">
        <v>71</v>
      </c>
      <c r="D24" s="629">
        <v>2545401</v>
      </c>
      <c r="E24" s="119">
        <v>2750677</v>
      </c>
      <c r="F24" s="125">
        <v>3307394</v>
      </c>
      <c r="G24" s="638">
        <v>2966287</v>
      </c>
      <c r="H24" s="645">
        <v>2785839</v>
      </c>
      <c r="I24" s="638">
        <v>2898875</v>
      </c>
      <c r="J24" s="645">
        <v>1527118</v>
      </c>
      <c r="K24" s="638">
        <v>2898385</v>
      </c>
      <c r="L24" s="645">
        <v>2627437</v>
      </c>
      <c r="M24" s="638">
        <v>2992460</v>
      </c>
      <c r="N24" s="645">
        <v>3121364</v>
      </c>
      <c r="O24" s="629">
        <v>3273481</v>
      </c>
      <c r="P24" s="652">
        <f t="shared" si="0"/>
        <v>33694718</v>
      </c>
    </row>
    <row r="25" spans="1:144" s="121" customFormat="1" ht="13.5" customHeight="1" thickBot="1">
      <c r="A25" s="829"/>
      <c r="B25" s="841"/>
      <c r="C25" s="604" t="s">
        <v>72</v>
      </c>
      <c r="D25" s="630">
        <v>0</v>
      </c>
      <c r="E25" s="630">
        <v>0</v>
      </c>
      <c r="F25" s="635">
        <v>0</v>
      </c>
      <c r="G25" s="638">
        <v>0</v>
      </c>
      <c r="H25" s="645">
        <v>0</v>
      </c>
      <c r="I25" s="638">
        <v>0</v>
      </c>
      <c r="J25" s="645">
        <v>0</v>
      </c>
      <c r="K25" s="638">
        <v>0</v>
      </c>
      <c r="L25" s="645">
        <v>0</v>
      </c>
      <c r="M25" s="638">
        <v>0</v>
      </c>
      <c r="N25" s="645">
        <v>0</v>
      </c>
      <c r="O25" s="630">
        <v>0</v>
      </c>
      <c r="P25" s="652">
        <f t="shared" si="0"/>
        <v>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</row>
    <row r="26" spans="1:144" s="121" customFormat="1" ht="13.5" customHeight="1" hidden="1">
      <c r="A26" s="568"/>
      <c r="B26" s="603"/>
      <c r="C26" s="607"/>
      <c r="D26" s="630">
        <f>D28-D24-D25-D21-D22-D20-D16</f>
        <v>399115</v>
      </c>
      <c r="E26" s="639">
        <f>E28-E24-E25-E21-E22-E20-E16</f>
        <v>389693</v>
      </c>
      <c r="F26" s="635">
        <f>F28-F24-F25-F21-F22-F20-F16</f>
        <v>417952</v>
      </c>
      <c r="G26" s="639"/>
      <c r="H26" s="646"/>
      <c r="I26" s="638" t="e">
        <f>#REF!*2308294</f>
        <v>#REF!</v>
      </c>
      <c r="J26" s="646"/>
      <c r="K26" s="639"/>
      <c r="L26" s="646"/>
      <c r="M26" s="639"/>
      <c r="N26" s="646"/>
      <c r="O26" s="630"/>
      <c r="P26" s="652" t="e">
        <f t="shared" si="0"/>
        <v>#REF!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thickBot="1">
      <c r="A27" s="568"/>
      <c r="B27" s="603" t="s">
        <v>182</v>
      </c>
      <c r="C27" s="602" t="s">
        <v>71</v>
      </c>
      <c r="D27" s="630">
        <v>93112</v>
      </c>
      <c r="E27" s="639">
        <v>95747</v>
      </c>
      <c r="F27" s="635">
        <v>113709</v>
      </c>
      <c r="G27" s="639">
        <v>107209</v>
      </c>
      <c r="H27" s="646">
        <v>84189</v>
      </c>
      <c r="I27" s="639">
        <v>92240</v>
      </c>
      <c r="J27" s="646">
        <v>102111</v>
      </c>
      <c r="K27" s="639">
        <v>111510</v>
      </c>
      <c r="L27" s="646">
        <v>118531</v>
      </c>
      <c r="M27" s="639">
        <v>122519</v>
      </c>
      <c r="N27" s="646">
        <v>126202</v>
      </c>
      <c r="O27" s="630">
        <v>132526</v>
      </c>
      <c r="P27" s="652">
        <f t="shared" si="0"/>
        <v>1299605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231" s="121" customFormat="1" ht="16.5" customHeight="1" thickBot="1">
      <c r="A28" s="162"/>
      <c r="B28" s="608" t="s">
        <v>5</v>
      </c>
      <c r="C28" s="609"/>
      <c r="D28" s="631">
        <f>D6+D7+D8+D9+D10+D11+D12+D13+D14+D15+D16+D17+D18+D19+D20+D22+D23+D24+D21+D25+D27</f>
        <v>3699610</v>
      </c>
      <c r="E28" s="631">
        <f aca="true" t="shared" si="1" ref="E28:P28">E6+E7+E8+E9+E10+E11+E12+E13+E14+E15+E16+E17+E18+E19+E20+E22+E23+E24+E21+E25+E27</f>
        <v>4790459</v>
      </c>
      <c r="F28" s="631">
        <f t="shared" si="1"/>
        <v>5632089</v>
      </c>
      <c r="G28" s="631">
        <f>G6+G7+G8+G9+G10+G11+G12+G13+G14+G15+G16+G17+G18+G19+G20+G22+G23+G24+G21+G25+G27</f>
        <v>4982890</v>
      </c>
      <c r="H28" s="631">
        <f t="shared" si="1"/>
        <v>4617945</v>
      </c>
      <c r="I28" s="631">
        <f t="shared" si="1"/>
        <v>4891321</v>
      </c>
      <c r="J28" s="631">
        <f t="shared" si="1"/>
        <v>3407291</v>
      </c>
      <c r="K28" s="631">
        <f t="shared" si="1"/>
        <v>4341694</v>
      </c>
      <c r="L28" s="631">
        <f t="shared" si="1"/>
        <v>4647225</v>
      </c>
      <c r="M28" s="631">
        <f t="shared" si="1"/>
        <v>5054211</v>
      </c>
      <c r="N28" s="631">
        <f t="shared" si="1"/>
        <v>5149868</v>
      </c>
      <c r="O28" s="631">
        <f t="shared" si="1"/>
        <v>5383304</v>
      </c>
      <c r="P28" s="631">
        <f t="shared" si="1"/>
        <v>56597907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</row>
    <row r="29" spans="1:16" s="121" customFormat="1" ht="16.5" customHeight="1">
      <c r="A29" s="131">
        <v>20</v>
      </c>
      <c r="B29" s="610" t="s">
        <v>64</v>
      </c>
      <c r="C29" s="596" t="s">
        <v>70</v>
      </c>
      <c r="D29" s="632">
        <v>947</v>
      </c>
      <c r="E29" s="641">
        <v>1792</v>
      </c>
      <c r="F29" s="155">
        <v>916</v>
      </c>
      <c r="G29" s="641">
        <v>517</v>
      </c>
      <c r="H29" s="597">
        <v>584</v>
      </c>
      <c r="I29" s="641">
        <v>576</v>
      </c>
      <c r="J29" s="597">
        <v>483</v>
      </c>
      <c r="K29" s="641">
        <v>352</v>
      </c>
      <c r="L29" s="597">
        <v>1564</v>
      </c>
      <c r="M29" s="641">
        <v>896</v>
      </c>
      <c r="N29" s="597">
        <v>748</v>
      </c>
      <c r="O29" s="650">
        <v>676</v>
      </c>
      <c r="P29" s="654">
        <f>SUM(D29+E29+F29+G29+H29+I29+J29+K29+L29+M29+N29+O29)</f>
        <v>10051</v>
      </c>
    </row>
    <row r="30" spans="1:16" s="121" customFormat="1" ht="15" customHeight="1" thickBot="1">
      <c r="A30" s="133">
        <v>21</v>
      </c>
      <c r="B30" s="611" t="s">
        <v>65</v>
      </c>
      <c r="C30" s="596" t="s">
        <v>70</v>
      </c>
      <c r="D30" s="633">
        <v>4110</v>
      </c>
      <c r="E30" s="642">
        <v>3900</v>
      </c>
      <c r="F30" s="135">
        <v>3090</v>
      </c>
      <c r="G30" s="641">
        <v>2910</v>
      </c>
      <c r="H30" s="597">
        <v>3570</v>
      </c>
      <c r="I30" s="648">
        <v>4050</v>
      </c>
      <c r="J30" s="597">
        <v>0</v>
      </c>
      <c r="K30" s="641">
        <v>0</v>
      </c>
      <c r="L30" s="597">
        <v>0</v>
      </c>
      <c r="M30" s="648">
        <v>0</v>
      </c>
      <c r="N30" s="597">
        <v>4680</v>
      </c>
      <c r="O30" s="651">
        <v>2645</v>
      </c>
      <c r="P30" s="654">
        <f>SUM(D30+E30+F30+G30+H30+I30+J30+K30+L30+M30+N30+O30)</f>
        <v>28955</v>
      </c>
    </row>
    <row r="31" spans="1:16" s="121" customFormat="1" ht="15.75" customHeight="1" thickBot="1">
      <c r="A31" s="175"/>
      <c r="B31" s="612"/>
      <c r="C31" s="612"/>
      <c r="D31" s="634">
        <f>D29+D30</f>
        <v>5057</v>
      </c>
      <c r="E31" s="186">
        <f>E29+E30</f>
        <v>5692</v>
      </c>
      <c r="F31" s="637">
        <f>F29+F30</f>
        <v>4006</v>
      </c>
      <c r="G31" s="186">
        <f>G29+G30</f>
        <v>3427</v>
      </c>
      <c r="H31" s="637">
        <f aca="true" t="shared" si="2" ref="H31:P31">H29+H30</f>
        <v>4154</v>
      </c>
      <c r="I31" s="169">
        <f t="shared" si="2"/>
        <v>4626</v>
      </c>
      <c r="J31" s="634">
        <f t="shared" si="2"/>
        <v>483</v>
      </c>
      <c r="K31" s="186">
        <f t="shared" si="2"/>
        <v>352</v>
      </c>
      <c r="L31" s="637">
        <f t="shared" si="2"/>
        <v>1564</v>
      </c>
      <c r="M31" s="169">
        <f t="shared" si="2"/>
        <v>896</v>
      </c>
      <c r="N31" s="169">
        <f t="shared" si="2"/>
        <v>5428</v>
      </c>
      <c r="O31" s="634">
        <f t="shared" si="2"/>
        <v>3321</v>
      </c>
      <c r="P31" s="655">
        <f t="shared" si="2"/>
        <v>39006</v>
      </c>
    </row>
    <row r="32" spans="1:29" ht="56.25" customHeight="1">
      <c r="A32" s="705"/>
      <c r="B32" s="846" t="s">
        <v>184</v>
      </c>
      <c r="C32" s="844"/>
      <c r="D32" s="844"/>
      <c r="E32" s="844"/>
      <c r="F32" s="844"/>
      <c r="G32" s="845"/>
      <c r="H32" s="845"/>
      <c r="I32" s="845"/>
      <c r="J32" s="845"/>
      <c r="K32" s="698"/>
      <c r="L32" s="698"/>
      <c r="M32" s="698"/>
      <c r="N32" s="698"/>
      <c r="O32" s="701"/>
      <c r="P32" s="707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16" s="121" customFormat="1" ht="17.25" customHeight="1" thickBot="1">
      <c r="A33" s="162">
        <v>23</v>
      </c>
      <c r="B33" s="607" t="s">
        <v>187</v>
      </c>
      <c r="C33" s="714" t="s">
        <v>72</v>
      </c>
      <c r="D33" s="711">
        <v>901</v>
      </c>
      <c r="E33" s="695">
        <v>0</v>
      </c>
      <c r="F33" s="694">
        <v>0</v>
      </c>
      <c r="G33" s="706">
        <v>0</v>
      </c>
      <c r="H33" s="696">
        <v>0</v>
      </c>
      <c r="I33" s="706">
        <v>36</v>
      </c>
      <c r="J33" s="696">
        <v>0</v>
      </c>
      <c r="K33" s="706">
        <v>0</v>
      </c>
      <c r="L33" s="706">
        <v>173</v>
      </c>
      <c r="M33" s="696">
        <v>179</v>
      </c>
      <c r="N33" s="706">
        <v>173</v>
      </c>
      <c r="O33" s="696">
        <v>0</v>
      </c>
      <c r="P33" s="703">
        <f aca="true" t="shared" si="3" ref="P33:P38">SUM(D33+E33+F33+G33+H33+I33+J33+K33+L33+M33+N33+O33)</f>
        <v>1462</v>
      </c>
    </row>
    <row r="34" spans="1:16" s="121" customFormat="1" ht="15.75" customHeight="1" thickBot="1">
      <c r="A34" s="185">
        <v>24</v>
      </c>
      <c r="B34" s="709" t="s">
        <v>66</v>
      </c>
      <c r="C34" s="714" t="s">
        <v>72</v>
      </c>
      <c r="D34" s="712">
        <v>633</v>
      </c>
      <c r="E34" s="154">
        <v>0</v>
      </c>
      <c r="F34" s="156">
        <v>0</v>
      </c>
      <c r="G34" s="638">
        <v>0</v>
      </c>
      <c r="H34" s="645">
        <v>0</v>
      </c>
      <c r="I34" s="638">
        <v>0</v>
      </c>
      <c r="J34" s="645">
        <v>0</v>
      </c>
      <c r="K34" s="708">
        <v>0</v>
      </c>
      <c r="L34" s="708">
        <v>0</v>
      </c>
      <c r="M34" s="708">
        <v>0</v>
      </c>
      <c r="N34" s="708">
        <v>0</v>
      </c>
      <c r="O34" s="708">
        <v>0</v>
      </c>
      <c r="P34" s="671">
        <f t="shared" si="3"/>
        <v>633</v>
      </c>
    </row>
    <row r="35" spans="1:16" s="121" customFormat="1" ht="18.75" customHeight="1" thickBot="1">
      <c r="A35" s="185">
        <v>25</v>
      </c>
      <c r="B35" s="710" t="s">
        <v>41</v>
      </c>
      <c r="C35" s="714" t="s">
        <v>72</v>
      </c>
      <c r="D35" s="118">
        <v>8531</v>
      </c>
      <c r="E35" s="134">
        <v>9737</v>
      </c>
      <c r="F35" s="136">
        <v>9749</v>
      </c>
      <c r="G35" s="638">
        <v>5004</v>
      </c>
      <c r="H35" s="645">
        <v>7546</v>
      </c>
      <c r="I35" s="638">
        <v>7040</v>
      </c>
      <c r="J35" s="645">
        <v>5572</v>
      </c>
      <c r="K35" s="708">
        <v>0</v>
      </c>
      <c r="L35" s="708">
        <v>0</v>
      </c>
      <c r="M35" s="708">
        <v>0</v>
      </c>
      <c r="N35" s="708">
        <v>0</v>
      </c>
      <c r="O35" s="708">
        <v>0</v>
      </c>
      <c r="P35" s="671">
        <f t="shared" si="3"/>
        <v>53179</v>
      </c>
    </row>
    <row r="36" spans="1:16" s="121" customFormat="1" ht="18.75" customHeight="1" thickBot="1">
      <c r="A36" s="185">
        <v>26</v>
      </c>
      <c r="B36" s="710" t="s">
        <v>188</v>
      </c>
      <c r="C36" s="714" t="s">
        <v>72</v>
      </c>
      <c r="D36" s="118">
        <v>11720</v>
      </c>
      <c r="E36" s="134">
        <v>11040</v>
      </c>
      <c r="F36" s="136">
        <v>8640</v>
      </c>
      <c r="G36" s="638">
        <v>8480</v>
      </c>
      <c r="H36" s="645">
        <v>11040</v>
      </c>
      <c r="I36" s="638">
        <v>4998</v>
      </c>
      <c r="J36" s="645">
        <v>5600</v>
      </c>
      <c r="K36" s="638">
        <v>7560</v>
      </c>
      <c r="L36" s="638">
        <v>8190</v>
      </c>
      <c r="M36" s="645">
        <v>11676</v>
      </c>
      <c r="N36" s="638">
        <v>11970</v>
      </c>
      <c r="O36" s="645">
        <v>9114</v>
      </c>
      <c r="P36" s="671">
        <f t="shared" si="3"/>
        <v>110028</v>
      </c>
    </row>
    <row r="37" spans="1:16" s="121" customFormat="1" ht="16.5" customHeight="1" thickBot="1">
      <c r="A37" s="185">
        <v>27</v>
      </c>
      <c r="B37" s="596" t="s">
        <v>43</v>
      </c>
      <c r="C37" s="714" t="s">
        <v>72</v>
      </c>
      <c r="D37" s="118">
        <v>2329</v>
      </c>
      <c r="E37" s="127">
        <v>0</v>
      </c>
      <c r="F37" s="115">
        <v>0</v>
      </c>
      <c r="G37" s="638">
        <v>0</v>
      </c>
      <c r="H37" s="645">
        <v>0</v>
      </c>
      <c r="I37" s="638">
        <v>3337</v>
      </c>
      <c r="J37" s="645">
        <v>0</v>
      </c>
      <c r="K37" s="708">
        <v>0</v>
      </c>
      <c r="L37" s="708">
        <v>0</v>
      </c>
      <c r="M37" s="708">
        <v>0</v>
      </c>
      <c r="N37" s="708">
        <v>0</v>
      </c>
      <c r="O37" s="708">
        <v>0</v>
      </c>
      <c r="P37" s="671">
        <f t="shared" si="3"/>
        <v>5666</v>
      </c>
    </row>
    <row r="38" spans="1:16" s="121" customFormat="1" ht="16.5" customHeight="1" thickBot="1">
      <c r="A38" s="185">
        <v>28</v>
      </c>
      <c r="B38" s="596" t="s">
        <v>190</v>
      </c>
      <c r="C38" s="714" t="s">
        <v>72</v>
      </c>
      <c r="D38" s="135">
        <v>1965</v>
      </c>
      <c r="E38" s="134">
        <v>0</v>
      </c>
      <c r="F38" s="136">
        <v>0</v>
      </c>
      <c r="G38" s="638">
        <v>0</v>
      </c>
      <c r="H38" s="645">
        <v>0</v>
      </c>
      <c r="I38" s="638">
        <v>5</v>
      </c>
      <c r="J38" s="645">
        <v>1882</v>
      </c>
      <c r="K38" s="638">
        <v>6770</v>
      </c>
      <c r="L38" s="638">
        <v>135</v>
      </c>
      <c r="M38" s="645">
        <v>140</v>
      </c>
      <c r="N38" s="638">
        <v>135</v>
      </c>
      <c r="O38" s="645">
        <v>0</v>
      </c>
      <c r="P38" s="671">
        <f t="shared" si="3"/>
        <v>11032</v>
      </c>
    </row>
    <row r="39" spans="1:17" ht="12.75" customHeight="1" thickBot="1">
      <c r="A39" s="88"/>
      <c r="B39" s="620" t="s">
        <v>5</v>
      </c>
      <c r="C39" s="713"/>
      <c r="D39" s="665">
        <f aca="true" t="shared" si="4" ref="D39:P39">D33+D34+D35+D37+D38+D36</f>
        <v>26079</v>
      </c>
      <c r="E39" s="665">
        <f t="shared" si="4"/>
        <v>20777</v>
      </c>
      <c r="F39" s="665">
        <f t="shared" si="4"/>
        <v>18389</v>
      </c>
      <c r="G39" s="665">
        <f t="shared" si="4"/>
        <v>13484</v>
      </c>
      <c r="H39" s="665">
        <f t="shared" si="4"/>
        <v>18586</v>
      </c>
      <c r="I39" s="665">
        <f t="shared" si="4"/>
        <v>15416</v>
      </c>
      <c r="J39" s="665">
        <f t="shared" si="4"/>
        <v>13054</v>
      </c>
      <c r="K39" s="665">
        <f t="shared" si="4"/>
        <v>14330</v>
      </c>
      <c r="L39" s="665">
        <f t="shared" si="4"/>
        <v>8498</v>
      </c>
      <c r="M39" s="665">
        <f t="shared" si="4"/>
        <v>11995</v>
      </c>
      <c r="N39" s="665">
        <f t="shared" si="4"/>
        <v>12278</v>
      </c>
      <c r="O39" s="665">
        <f t="shared" si="4"/>
        <v>9114</v>
      </c>
      <c r="P39" s="665">
        <f t="shared" si="4"/>
        <v>182000</v>
      </c>
      <c r="Q39" s="572"/>
    </row>
    <row r="40" spans="1:16" ht="15" customHeight="1" thickBot="1">
      <c r="A40" s="833"/>
      <c r="B40" s="837" t="s">
        <v>50</v>
      </c>
      <c r="C40" s="621"/>
      <c r="D40" s="674">
        <f aca="true" t="shared" si="5" ref="D40:P40">D39+D28+D31</f>
        <v>3730746</v>
      </c>
      <c r="E40" s="675">
        <f t="shared" si="5"/>
        <v>4816928</v>
      </c>
      <c r="F40" s="675">
        <f t="shared" si="5"/>
        <v>5654484</v>
      </c>
      <c r="G40" s="676">
        <f t="shared" si="5"/>
        <v>4999801</v>
      </c>
      <c r="H40" s="674">
        <f t="shared" si="5"/>
        <v>4640685</v>
      </c>
      <c r="I40" s="675">
        <f t="shared" si="5"/>
        <v>4911363</v>
      </c>
      <c r="J40" s="675">
        <f t="shared" si="5"/>
        <v>3420828</v>
      </c>
      <c r="K40" s="675">
        <f t="shared" si="5"/>
        <v>4356376</v>
      </c>
      <c r="L40" s="676">
        <f t="shared" si="5"/>
        <v>4657287</v>
      </c>
      <c r="M40" s="674">
        <f t="shared" si="5"/>
        <v>5067102</v>
      </c>
      <c r="N40" s="675">
        <f t="shared" si="5"/>
        <v>5167574</v>
      </c>
      <c r="O40" s="677">
        <f t="shared" si="5"/>
        <v>5395739</v>
      </c>
      <c r="P40" s="678">
        <f t="shared" si="5"/>
        <v>56818913</v>
      </c>
    </row>
    <row r="41" spans="1:25" ht="6" customHeight="1">
      <c r="A41" s="831"/>
      <c r="B41" s="838"/>
      <c r="C41" s="622"/>
      <c r="D41" s="623">
        <f>D40-D24-D22-D20</f>
        <v>1017079</v>
      </c>
      <c r="E41" s="623">
        <f>E40-E24-E22-E20</f>
        <v>1905940</v>
      </c>
      <c r="F41" s="623">
        <f>F40-F24-F22-F20</f>
        <v>2158669</v>
      </c>
      <c r="G41" s="437"/>
      <c r="H41" s="437"/>
      <c r="I41" s="437"/>
      <c r="J41" s="437"/>
      <c r="K41" s="437"/>
      <c r="L41" s="437"/>
      <c r="M41" s="437"/>
      <c r="N41" s="437"/>
      <c r="O41" s="437"/>
      <c r="P41" s="672"/>
      <c r="Q41" s="94"/>
      <c r="R41" s="32"/>
      <c r="S41" s="32"/>
      <c r="T41" s="32"/>
      <c r="U41" s="32"/>
      <c r="V41" s="32"/>
      <c r="W41" s="32"/>
      <c r="X41" s="32"/>
      <c r="Y41" s="32"/>
    </row>
    <row r="42" spans="1:25" ht="3" customHeight="1" thickBot="1">
      <c r="A42" s="831"/>
      <c r="B42" s="838"/>
      <c r="C42" s="624"/>
      <c r="D42" s="623">
        <f>D41+3680</f>
        <v>1020759</v>
      </c>
      <c r="E42" s="623">
        <f>E41+4000</f>
        <v>1909940</v>
      </c>
      <c r="F42" s="623">
        <f>F41+1120</f>
        <v>2159789</v>
      </c>
      <c r="G42" s="625"/>
      <c r="H42" s="625"/>
      <c r="I42" s="625"/>
      <c r="J42" s="625"/>
      <c r="K42" s="625"/>
      <c r="L42" s="625"/>
      <c r="M42" s="625"/>
      <c r="N42" s="625"/>
      <c r="O42" s="625"/>
      <c r="P42" s="673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3.5" thickBot="1">
      <c r="A43" s="831"/>
      <c r="B43" s="838"/>
      <c r="C43" s="679" t="s">
        <v>71</v>
      </c>
      <c r="D43" s="680">
        <f>D10+D20+D21+D24+D27</f>
        <v>3070367</v>
      </c>
      <c r="E43" s="680">
        <f aca="true" t="shared" si="6" ref="E43:P43">E10+E20+E21+E24+E27</f>
        <v>3294625</v>
      </c>
      <c r="F43" s="680">
        <f t="shared" si="6"/>
        <v>3944776</v>
      </c>
      <c r="G43" s="680">
        <f t="shared" si="6"/>
        <v>3489075</v>
      </c>
      <c r="H43" s="680">
        <f t="shared" si="6"/>
        <v>3271618</v>
      </c>
      <c r="I43" s="680">
        <f t="shared" si="6"/>
        <v>3444709</v>
      </c>
      <c r="J43" s="680">
        <f t="shared" si="6"/>
        <v>1944383</v>
      </c>
      <c r="K43" s="680">
        <f t="shared" si="6"/>
        <v>3468126</v>
      </c>
      <c r="L43" s="680">
        <f t="shared" si="6"/>
        <v>3229212</v>
      </c>
      <c r="M43" s="680">
        <f t="shared" si="6"/>
        <v>3650301</v>
      </c>
      <c r="N43" s="680">
        <f t="shared" si="6"/>
        <v>3791423</v>
      </c>
      <c r="O43" s="680">
        <f t="shared" si="6"/>
        <v>3973691</v>
      </c>
      <c r="P43" s="680">
        <f t="shared" si="6"/>
        <v>40572306</v>
      </c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5" thickBot="1">
      <c r="A44" s="831"/>
      <c r="B44" s="838"/>
      <c r="C44" s="679" t="s">
        <v>70</v>
      </c>
      <c r="D44" s="685">
        <f aca="true" t="shared" si="7" ref="D44:O44">SUM(D29:D30,D23,D18:D19,D16:D17,D13,D11,D6:D9)</f>
        <v>617932</v>
      </c>
      <c r="E44" s="686">
        <f t="shared" si="7"/>
        <v>1476686</v>
      </c>
      <c r="F44" s="687">
        <f t="shared" si="7"/>
        <v>1670035</v>
      </c>
      <c r="G44" s="687">
        <f t="shared" si="7"/>
        <v>1476664</v>
      </c>
      <c r="H44" s="687">
        <f t="shared" si="7"/>
        <v>1333391</v>
      </c>
      <c r="I44" s="687">
        <f t="shared" si="7"/>
        <v>1435316</v>
      </c>
      <c r="J44" s="687">
        <f t="shared" si="7"/>
        <v>1451191</v>
      </c>
      <c r="K44" s="687">
        <f t="shared" si="7"/>
        <v>860020</v>
      </c>
      <c r="L44" s="687">
        <f t="shared" si="7"/>
        <v>1399492</v>
      </c>
      <c r="M44" s="687">
        <f t="shared" si="7"/>
        <v>1382092</v>
      </c>
      <c r="N44" s="687">
        <f t="shared" si="7"/>
        <v>1336589</v>
      </c>
      <c r="O44" s="688">
        <f t="shared" si="7"/>
        <v>1386633</v>
      </c>
      <c r="P44" s="684">
        <f>SUM(D44+E44+F44+G44+H44+I44+J44+K44+L44+M44+N44+O44)</f>
        <v>15826041</v>
      </c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5" thickBot="1">
      <c r="A45" s="832"/>
      <c r="B45" s="839"/>
      <c r="C45" s="689" t="s">
        <v>72</v>
      </c>
      <c r="D45" s="680">
        <f>D40-D43-D44</f>
        <v>42447</v>
      </c>
      <c r="E45" s="681">
        <f>E40-E43-E44</f>
        <v>45617</v>
      </c>
      <c r="F45" s="682">
        <f>F40-F43-F44</f>
        <v>39673</v>
      </c>
      <c r="G45" s="682">
        <f aca="true" t="shared" si="8" ref="G45:N45">G40-G43-G44</f>
        <v>34062</v>
      </c>
      <c r="H45" s="682">
        <f t="shared" si="8"/>
        <v>35676</v>
      </c>
      <c r="I45" s="682">
        <f t="shared" si="8"/>
        <v>31338</v>
      </c>
      <c r="J45" s="682">
        <f t="shared" si="8"/>
        <v>25254</v>
      </c>
      <c r="K45" s="682">
        <f t="shared" si="8"/>
        <v>28230</v>
      </c>
      <c r="L45" s="682">
        <f t="shared" si="8"/>
        <v>28583</v>
      </c>
      <c r="M45" s="682">
        <f>M40-M43-M44</f>
        <v>34709</v>
      </c>
      <c r="N45" s="682">
        <f t="shared" si="8"/>
        <v>39562</v>
      </c>
      <c r="O45" s="683">
        <f>O40-O43-O44</f>
        <v>35415</v>
      </c>
      <c r="P45" s="690">
        <f>SUM(D45+E45+F45+G45+H45+I45+J45+K45+L45+M45+N45+O45)</f>
        <v>420566</v>
      </c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 s="90"/>
      <c r="B46" s="90"/>
      <c r="C46" s="90"/>
      <c r="D46" s="95"/>
      <c r="E46" s="90"/>
      <c r="F46" s="9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 s="90"/>
      <c r="B47" s="90"/>
      <c r="C47" s="90"/>
      <c r="D47" s="90"/>
      <c r="E47" s="90"/>
      <c r="F47" s="90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>
      <c r="A48" s="90"/>
      <c r="B48" s="90"/>
      <c r="C48" s="90"/>
      <c r="D48" s="90"/>
      <c r="E48" s="90"/>
      <c r="F48" s="9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>
      <c r="A49" s="90"/>
      <c r="B49" s="90"/>
      <c r="C49" s="90"/>
      <c r="D49" s="90"/>
      <c r="E49" s="90"/>
      <c r="F49" s="90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0"/>
      <c r="B50" s="90"/>
      <c r="C50" s="90"/>
      <c r="D50" s="90"/>
      <c r="E50" s="90"/>
      <c r="F50" s="90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0"/>
      <c r="B51" s="90"/>
      <c r="C51" s="90"/>
      <c r="D51" s="90"/>
      <c r="E51" s="90"/>
      <c r="F51" s="9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>
      <c r="A52" s="90"/>
      <c r="B52" s="90"/>
      <c r="C52" s="90"/>
      <c r="D52" s="90"/>
      <c r="E52" s="90"/>
      <c r="F52" s="9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>
      <c r="A53" s="90"/>
      <c r="B53" s="90"/>
      <c r="C53" s="90"/>
      <c r="D53" s="90"/>
      <c r="E53" s="90"/>
      <c r="F53" s="9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>
      <c r="A54" s="90"/>
      <c r="B54" s="90"/>
      <c r="C54" s="90"/>
      <c r="D54" s="90"/>
      <c r="E54" s="90"/>
      <c r="F54" s="9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2.75">
      <c r="A55" s="90"/>
      <c r="B55" s="90"/>
      <c r="C55" s="90"/>
      <c r="D55" s="90"/>
      <c r="E55" s="90"/>
      <c r="F55" s="9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2.75">
      <c r="A56" s="90"/>
      <c r="B56" s="90"/>
      <c r="C56" s="90"/>
      <c r="D56" s="90"/>
      <c r="E56" s="90"/>
      <c r="F56" s="9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>
      <c r="A57" s="90"/>
      <c r="B57" s="90"/>
      <c r="C57" s="90"/>
      <c r="D57" s="90"/>
      <c r="E57" s="90"/>
      <c r="F57" s="90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6" ht="12.75">
      <c r="A58" s="97"/>
      <c r="B58" s="97"/>
      <c r="C58" s="97"/>
      <c r="D58" s="97"/>
      <c r="E58" s="97"/>
      <c r="F58" s="97"/>
    </row>
    <row r="59" spans="1:6" ht="12.75">
      <c r="A59" s="97"/>
      <c r="B59" s="97"/>
      <c r="C59" s="97"/>
      <c r="D59" s="97"/>
      <c r="E59" s="97"/>
      <c r="F59" s="97"/>
    </row>
    <row r="60" spans="1:6" ht="12.75">
      <c r="A60" s="97"/>
      <c r="B60" s="97"/>
      <c r="C60" s="97"/>
      <c r="D60" s="97"/>
      <c r="E60" s="97"/>
      <c r="F60" s="97"/>
    </row>
    <row r="61" spans="1:6" ht="12.75">
      <c r="A61" s="97"/>
      <c r="B61" s="97"/>
      <c r="C61" s="97"/>
      <c r="D61" s="97"/>
      <c r="E61" s="97"/>
      <c r="F61" s="97"/>
    </row>
    <row r="62" spans="1:6" ht="12.75">
      <c r="A62" s="97"/>
      <c r="B62" s="97"/>
      <c r="C62" s="97"/>
      <c r="D62" s="97"/>
      <c r="E62" s="97"/>
      <c r="F62" s="97"/>
    </row>
    <row r="63" spans="1:6" ht="12.75">
      <c r="A63" s="97"/>
      <c r="B63" s="97"/>
      <c r="C63" s="97"/>
      <c r="D63" s="97"/>
      <c r="E63" s="97"/>
      <c r="F63" s="97"/>
    </row>
    <row r="64" spans="1:6" ht="12.75">
      <c r="A64" s="97"/>
      <c r="B64" s="97"/>
      <c r="C64" s="97"/>
      <c r="D64" s="97"/>
      <c r="E64" s="97"/>
      <c r="F64" s="97"/>
    </row>
    <row r="65" spans="1:6" ht="12.75">
      <c r="A65" s="97"/>
      <c r="B65" s="97"/>
      <c r="C65" s="97"/>
      <c r="D65" s="97"/>
      <c r="E65" s="97"/>
      <c r="F65" s="97"/>
    </row>
    <row r="66" spans="1:6" ht="12.75">
      <c r="A66" s="97"/>
      <c r="B66" s="97"/>
      <c r="C66" s="97"/>
      <c r="D66" s="97"/>
      <c r="E66" s="97"/>
      <c r="F66" s="97"/>
    </row>
    <row r="67" spans="1:6" ht="12.75">
      <c r="A67" s="97"/>
      <c r="B67" s="97"/>
      <c r="C67" s="97"/>
      <c r="D67" s="97"/>
      <c r="E67" s="97"/>
      <c r="F67" s="97"/>
    </row>
    <row r="68" spans="1:6" ht="12.75">
      <c r="A68" s="97"/>
      <c r="B68" s="97"/>
      <c r="C68" s="97"/>
      <c r="D68" s="97"/>
      <c r="E68" s="97"/>
      <c r="F68" s="97"/>
    </row>
    <row r="69" spans="1:6" ht="12.75">
      <c r="A69" s="97"/>
      <c r="B69" s="97"/>
      <c r="C69" s="97"/>
      <c r="D69" s="97"/>
      <c r="E69" s="97"/>
      <c r="F69" s="97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</sheetData>
  <sheetProtection/>
  <mergeCells count="13">
    <mergeCell ref="A40:A45"/>
    <mergeCell ref="B40:B45"/>
    <mergeCell ref="B5:F5"/>
    <mergeCell ref="A21:A22"/>
    <mergeCell ref="B21:B22"/>
    <mergeCell ref="A24:A25"/>
    <mergeCell ref="B24:B25"/>
    <mergeCell ref="A1:F1"/>
    <mergeCell ref="A2:F2"/>
    <mergeCell ref="A3:A4"/>
    <mergeCell ref="B3:B4"/>
    <mergeCell ref="C3:C4"/>
    <mergeCell ref="B32:J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W71"/>
  <sheetViews>
    <sheetView view="pageBreakPreview" zoomScaleSheetLayoutView="100" zoomScalePageLayoutView="0" workbookViewId="0" topLeftCell="A1">
      <pane xSplit="2" ySplit="2" topLeftCell="K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875" style="17" customWidth="1"/>
    <col min="4" max="4" width="12.625" style="17" customWidth="1"/>
    <col min="5" max="5" width="12.75390625" style="17" customWidth="1"/>
    <col min="6" max="6" width="13.25390625" style="17" customWidth="1"/>
    <col min="7" max="7" width="17.375" style="17" customWidth="1"/>
    <col min="8" max="9" width="12.875" style="17" customWidth="1"/>
    <col min="10" max="10" width="12.625" style="17" customWidth="1"/>
    <col min="11" max="11" width="13.25390625" style="17" customWidth="1"/>
    <col min="12" max="12" width="13.00390625" style="17" customWidth="1"/>
    <col min="13" max="13" width="13.2539062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6384" width="9.125" style="17" customWidth="1"/>
  </cols>
  <sheetData>
    <row r="1" spans="1:6" ht="35.25" customHeight="1">
      <c r="A1" s="824"/>
      <c r="B1" s="825"/>
      <c r="C1" s="825"/>
      <c r="D1" s="825"/>
      <c r="E1" s="825"/>
      <c r="F1" s="825"/>
    </row>
    <row r="2" spans="1:6" ht="60" customHeight="1" thickBot="1">
      <c r="A2" s="826" t="s">
        <v>194</v>
      </c>
      <c r="B2" s="827"/>
      <c r="C2" s="827"/>
      <c r="D2" s="827"/>
      <c r="E2" s="827"/>
      <c r="F2" s="827"/>
    </row>
    <row r="3" spans="1:16" ht="20.25" customHeight="1" thickBot="1">
      <c r="A3" s="822" t="s">
        <v>0</v>
      </c>
      <c r="B3" s="822" t="s">
        <v>1</v>
      </c>
      <c r="C3" s="822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2012</v>
      </c>
    </row>
    <row r="4" spans="1:16" ht="24" customHeight="1" thickBot="1">
      <c r="A4" s="823"/>
      <c r="B4" s="823"/>
      <c r="C4" s="823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796"/>
      <c r="C5" s="797"/>
      <c r="D5" s="797"/>
      <c r="E5" s="797"/>
      <c r="F5" s="797"/>
      <c r="P5" s="657"/>
    </row>
    <row r="6" spans="1:16" s="121" customFormat="1" ht="15" customHeight="1">
      <c r="A6" s="113">
        <v>1</v>
      </c>
      <c r="B6" s="595" t="s">
        <v>195</v>
      </c>
      <c r="C6" s="596" t="s">
        <v>70</v>
      </c>
      <c r="D6" s="627">
        <v>711</v>
      </c>
      <c r="E6" s="144">
        <v>994</v>
      </c>
      <c r="F6" s="141">
        <v>710</v>
      </c>
      <c r="G6" s="144">
        <v>363</v>
      </c>
      <c r="H6" s="643">
        <v>111</v>
      </c>
      <c r="I6" s="144">
        <v>122</v>
      </c>
      <c r="J6" s="643">
        <v>155</v>
      </c>
      <c r="K6" s="144">
        <v>148</v>
      </c>
      <c r="L6" s="643">
        <v>197</v>
      </c>
      <c r="M6" s="144">
        <v>289</v>
      </c>
      <c r="N6" s="643">
        <v>526</v>
      </c>
      <c r="O6" s="649">
        <v>932</v>
      </c>
      <c r="P6" s="656">
        <f aca="true" t="shared" si="0" ref="P6:P27">SUM(D6+E6+F6+G6+H6+I6+J6+K6+L6+M6+N6+O6)</f>
        <v>5258</v>
      </c>
    </row>
    <row r="7" spans="1:16" s="121" customFormat="1" ht="12" customHeight="1">
      <c r="A7" s="113">
        <v>2</v>
      </c>
      <c r="B7" s="595" t="s">
        <v>196</v>
      </c>
      <c r="C7" s="596" t="s">
        <v>70</v>
      </c>
      <c r="D7" s="628">
        <v>700</v>
      </c>
      <c r="E7" s="119">
        <v>300</v>
      </c>
      <c r="F7" s="118">
        <v>1000</v>
      </c>
      <c r="G7" s="119">
        <v>550</v>
      </c>
      <c r="H7" s="644">
        <v>250</v>
      </c>
      <c r="I7" s="119">
        <v>200</v>
      </c>
      <c r="J7" s="644">
        <v>250</v>
      </c>
      <c r="K7" s="119">
        <v>200</v>
      </c>
      <c r="L7" s="644">
        <v>250</v>
      </c>
      <c r="M7" s="119">
        <v>200</v>
      </c>
      <c r="N7" s="644">
        <v>300</v>
      </c>
      <c r="O7" s="629">
        <v>1050</v>
      </c>
      <c r="P7" s="652">
        <f t="shared" si="0"/>
        <v>5250</v>
      </c>
    </row>
    <row r="8" spans="1:16" s="121" customFormat="1" ht="14.25" customHeight="1">
      <c r="A8" s="113">
        <v>3</v>
      </c>
      <c r="B8" s="595" t="s">
        <v>48</v>
      </c>
      <c r="C8" s="596" t="s">
        <v>70</v>
      </c>
      <c r="D8" s="628">
        <v>5087</v>
      </c>
      <c r="E8" s="119">
        <v>6320</v>
      </c>
      <c r="F8" s="118">
        <v>4210</v>
      </c>
      <c r="G8" s="119">
        <v>3855</v>
      </c>
      <c r="H8" s="644">
        <v>3624</v>
      </c>
      <c r="I8" s="119">
        <v>4427</v>
      </c>
      <c r="J8" s="644">
        <v>6313</v>
      </c>
      <c r="K8" s="119">
        <v>5344</v>
      </c>
      <c r="L8" s="644">
        <v>3993</v>
      </c>
      <c r="M8" s="119">
        <v>3350</v>
      </c>
      <c r="N8" s="644">
        <v>3119</v>
      </c>
      <c r="O8" s="629">
        <v>4696</v>
      </c>
      <c r="P8" s="652">
        <f t="shared" si="0"/>
        <v>54338</v>
      </c>
    </row>
    <row r="9" spans="1:16" s="121" customFormat="1" ht="18" customHeight="1">
      <c r="A9" s="122">
        <v>4</v>
      </c>
      <c r="B9" s="595" t="s">
        <v>36</v>
      </c>
      <c r="C9" s="596" t="s">
        <v>70</v>
      </c>
      <c r="D9" s="628">
        <v>1240</v>
      </c>
      <c r="E9" s="119">
        <v>2174</v>
      </c>
      <c r="F9" s="118">
        <v>1198</v>
      </c>
      <c r="G9" s="119">
        <v>792</v>
      </c>
      <c r="H9" s="644">
        <v>321</v>
      </c>
      <c r="I9" s="119">
        <v>509</v>
      </c>
      <c r="J9" s="644">
        <v>616</v>
      </c>
      <c r="K9" s="119">
        <v>575</v>
      </c>
      <c r="L9" s="644">
        <v>475</v>
      </c>
      <c r="M9" s="119">
        <v>458</v>
      </c>
      <c r="N9" s="644">
        <v>550</v>
      </c>
      <c r="O9" s="629">
        <v>1806</v>
      </c>
      <c r="P9" s="652">
        <f t="shared" si="0"/>
        <v>10714</v>
      </c>
    </row>
    <row r="10" spans="1:16" s="121" customFormat="1" ht="13.5" customHeight="1">
      <c r="A10" s="122">
        <v>5</v>
      </c>
      <c r="B10" s="595" t="s">
        <v>193</v>
      </c>
      <c r="C10" s="596" t="s">
        <v>71</v>
      </c>
      <c r="D10" s="628">
        <v>122627</v>
      </c>
      <c r="E10" s="119">
        <v>118522</v>
      </c>
      <c r="F10" s="118">
        <v>148318</v>
      </c>
      <c r="G10" s="119">
        <v>131971</v>
      </c>
      <c r="H10" s="644">
        <v>111542</v>
      </c>
      <c r="I10" s="119">
        <v>145693</v>
      </c>
      <c r="J10" s="644">
        <v>146143</v>
      </c>
      <c r="K10" s="119">
        <v>148552</v>
      </c>
      <c r="L10" s="644">
        <v>140682</v>
      </c>
      <c r="M10" s="119">
        <v>155267</v>
      </c>
      <c r="N10" s="644">
        <v>145524</v>
      </c>
      <c r="O10" s="629">
        <v>170283</v>
      </c>
      <c r="P10" s="652">
        <f t="shared" si="0"/>
        <v>1685124</v>
      </c>
    </row>
    <row r="11" spans="1:16" s="121" customFormat="1" ht="18" customHeight="1">
      <c r="A11" s="122">
        <v>6</v>
      </c>
      <c r="B11" s="595" t="s">
        <v>191</v>
      </c>
      <c r="C11" s="596" t="s">
        <v>70</v>
      </c>
      <c r="D11" s="628">
        <v>24470</v>
      </c>
      <c r="E11" s="119">
        <v>23270</v>
      </c>
      <c r="F11" s="118">
        <v>18862</v>
      </c>
      <c r="G11" s="119">
        <v>14657</v>
      </c>
      <c r="H11" s="644">
        <v>7812</v>
      </c>
      <c r="I11" s="119">
        <v>10813</v>
      </c>
      <c r="J11" s="644">
        <v>6371</v>
      </c>
      <c r="K11" s="119">
        <v>7972</v>
      </c>
      <c r="L11" s="644">
        <v>14337</v>
      </c>
      <c r="M11" s="119">
        <v>20528</v>
      </c>
      <c r="N11" s="644">
        <v>20585</v>
      </c>
      <c r="O11" s="629">
        <v>17740</v>
      </c>
      <c r="P11" s="652">
        <f t="shared" si="0"/>
        <v>187417</v>
      </c>
    </row>
    <row r="12" spans="1:16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715">
        <v>0</v>
      </c>
      <c r="F12" s="118">
        <v>0</v>
      </c>
      <c r="G12" s="638">
        <v>0</v>
      </c>
      <c r="H12" s="645">
        <v>2000</v>
      </c>
      <c r="I12" s="638">
        <v>0</v>
      </c>
      <c r="J12" s="645">
        <v>0</v>
      </c>
      <c r="K12" s="638">
        <v>0</v>
      </c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2000</v>
      </c>
    </row>
    <row r="13" spans="1:16" s="121" customFormat="1" ht="26.25" customHeight="1">
      <c r="A13" s="122">
        <v>8</v>
      </c>
      <c r="B13" s="595" t="s">
        <v>35</v>
      </c>
      <c r="C13" s="596" t="s">
        <v>70</v>
      </c>
      <c r="D13" s="629">
        <v>540</v>
      </c>
      <c r="E13" s="119">
        <v>450</v>
      </c>
      <c r="F13" s="118">
        <v>700</v>
      </c>
      <c r="G13" s="638">
        <v>640</v>
      </c>
      <c r="H13" s="645">
        <v>890</v>
      </c>
      <c r="I13" s="638">
        <v>770</v>
      </c>
      <c r="J13" s="645">
        <v>1160</v>
      </c>
      <c r="K13" s="638">
        <v>0</v>
      </c>
      <c r="L13" s="645">
        <v>1990</v>
      </c>
      <c r="M13" s="638">
        <v>770</v>
      </c>
      <c r="N13" s="645">
        <v>350</v>
      </c>
      <c r="O13" s="629">
        <v>130</v>
      </c>
      <c r="P13" s="652">
        <f t="shared" si="0"/>
        <v>8390</v>
      </c>
    </row>
    <row r="14" spans="1:16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715">
        <v>0</v>
      </c>
      <c r="F14" s="118">
        <v>1428</v>
      </c>
      <c r="G14" s="638">
        <v>0</v>
      </c>
      <c r="H14" s="645">
        <v>0</v>
      </c>
      <c r="I14" s="638">
        <v>3383</v>
      </c>
      <c r="J14" s="645">
        <v>0</v>
      </c>
      <c r="K14" s="638">
        <v>0</v>
      </c>
      <c r="L14" s="645">
        <v>0</v>
      </c>
      <c r="M14" s="638">
        <v>0</v>
      </c>
      <c r="N14" s="645">
        <v>0</v>
      </c>
      <c r="O14" s="629">
        <v>4346</v>
      </c>
      <c r="P14" s="652">
        <f t="shared" si="0"/>
        <v>9157</v>
      </c>
    </row>
    <row r="15" spans="1:16" s="121" customFormat="1" ht="17.25" customHeight="1">
      <c r="A15" s="122">
        <v>10</v>
      </c>
      <c r="B15" s="595" t="s">
        <v>21</v>
      </c>
      <c r="C15" s="596" t="s">
        <v>72</v>
      </c>
      <c r="D15" s="629">
        <v>5840</v>
      </c>
      <c r="E15" s="119">
        <v>5820</v>
      </c>
      <c r="F15" s="118">
        <v>4480</v>
      </c>
      <c r="G15" s="638">
        <v>4300</v>
      </c>
      <c r="H15" s="645">
        <v>3240</v>
      </c>
      <c r="I15" s="638">
        <v>3100</v>
      </c>
      <c r="J15" s="645">
        <v>1872</v>
      </c>
      <c r="K15" s="638">
        <v>840</v>
      </c>
      <c r="L15" s="645">
        <v>3600</v>
      </c>
      <c r="M15" s="638">
        <v>5340</v>
      </c>
      <c r="N15" s="645">
        <v>5280</v>
      </c>
      <c r="O15" s="629">
        <v>6060</v>
      </c>
      <c r="P15" s="652">
        <f t="shared" si="0"/>
        <v>49772</v>
      </c>
    </row>
    <row r="16" spans="1:16" s="121" customFormat="1" ht="15.75" customHeight="1">
      <c r="A16" s="122">
        <v>11</v>
      </c>
      <c r="B16" s="595" t="s">
        <v>63</v>
      </c>
      <c r="C16" s="596" t="s">
        <v>70</v>
      </c>
      <c r="D16" s="629">
        <v>545805</v>
      </c>
      <c r="E16" s="119">
        <v>1325662</v>
      </c>
      <c r="F16" s="118">
        <v>1389900</v>
      </c>
      <c r="G16" s="638">
        <v>1276949</v>
      </c>
      <c r="H16" s="645">
        <v>1271788</v>
      </c>
      <c r="I16" s="638">
        <v>1157179</v>
      </c>
      <c r="J16" s="645">
        <v>901718</v>
      </c>
      <c r="K16" s="638">
        <v>1114524</v>
      </c>
      <c r="L16" s="645">
        <v>1172867</v>
      </c>
      <c r="M16" s="638">
        <v>1331200</v>
      </c>
      <c r="N16" s="645">
        <v>1308633</v>
      </c>
      <c r="O16" s="629">
        <v>1254124</v>
      </c>
      <c r="P16" s="652">
        <f t="shared" si="0"/>
        <v>14050349</v>
      </c>
    </row>
    <row r="17" spans="1:16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715">
        <v>0</v>
      </c>
      <c r="F17" s="125">
        <v>500</v>
      </c>
      <c r="G17" s="638">
        <v>0</v>
      </c>
      <c r="H17" s="645">
        <v>3120</v>
      </c>
      <c r="I17" s="638">
        <v>4620</v>
      </c>
      <c r="J17" s="645">
        <v>4780</v>
      </c>
      <c r="K17" s="638">
        <v>4500</v>
      </c>
      <c r="L17" s="645">
        <v>2820</v>
      </c>
      <c r="M17" s="638">
        <v>920</v>
      </c>
      <c r="N17" s="645">
        <v>0</v>
      </c>
      <c r="O17" s="629">
        <v>560</v>
      </c>
      <c r="P17" s="652">
        <f t="shared" si="0"/>
        <v>21820</v>
      </c>
    </row>
    <row r="18" spans="1:16" s="121" customFormat="1" ht="16.5" customHeight="1">
      <c r="A18" s="122">
        <v>14</v>
      </c>
      <c r="B18" s="595" t="s">
        <v>31</v>
      </c>
      <c r="C18" s="596" t="s">
        <v>70</v>
      </c>
      <c r="D18" s="629">
        <v>421</v>
      </c>
      <c r="E18" s="638">
        <v>336</v>
      </c>
      <c r="F18" s="125">
        <v>335</v>
      </c>
      <c r="G18" s="638">
        <v>354</v>
      </c>
      <c r="H18" s="645">
        <v>369</v>
      </c>
      <c r="I18" s="638">
        <v>444</v>
      </c>
      <c r="J18" s="645">
        <v>468</v>
      </c>
      <c r="K18" s="638">
        <v>554</v>
      </c>
      <c r="L18" s="645">
        <v>499</v>
      </c>
      <c r="M18" s="638">
        <v>453</v>
      </c>
      <c r="N18" s="645">
        <v>699</v>
      </c>
      <c r="O18" s="629">
        <v>770</v>
      </c>
      <c r="P18" s="652">
        <f t="shared" si="0"/>
        <v>5702</v>
      </c>
    </row>
    <row r="19" spans="1:16" s="121" customFormat="1" ht="18.75" customHeight="1">
      <c r="A19" s="122">
        <v>15</v>
      </c>
      <c r="B19" s="599" t="s">
        <v>34</v>
      </c>
      <c r="C19" s="596" t="s">
        <v>70</v>
      </c>
      <c r="D19" s="629">
        <v>12040</v>
      </c>
      <c r="E19" s="119">
        <v>18540</v>
      </c>
      <c r="F19" s="125">
        <v>16840</v>
      </c>
      <c r="G19" s="638">
        <v>18560</v>
      </c>
      <c r="H19" s="645">
        <v>16400</v>
      </c>
      <c r="I19" s="638">
        <v>17760</v>
      </c>
      <c r="J19" s="645">
        <v>13300</v>
      </c>
      <c r="K19" s="638">
        <v>15520</v>
      </c>
      <c r="L19" s="645">
        <v>17440</v>
      </c>
      <c r="M19" s="638">
        <v>22300</v>
      </c>
      <c r="N19" s="645">
        <v>13220</v>
      </c>
      <c r="O19" s="629">
        <v>18520</v>
      </c>
      <c r="P19" s="652">
        <f t="shared" si="0"/>
        <v>200440</v>
      </c>
    </row>
    <row r="20" spans="1:16" s="121" customFormat="1" ht="16.5" customHeight="1" thickBot="1">
      <c r="A20" s="132">
        <v>16</v>
      </c>
      <c r="B20" s="600" t="s">
        <v>200</v>
      </c>
      <c r="C20" s="601" t="s">
        <v>72</v>
      </c>
      <c r="D20" s="629">
        <v>0</v>
      </c>
      <c r="E20" s="638">
        <v>0</v>
      </c>
      <c r="F20" s="125">
        <v>0</v>
      </c>
      <c r="G20" s="638">
        <v>0</v>
      </c>
      <c r="H20" s="645">
        <v>0</v>
      </c>
      <c r="I20" s="638">
        <v>0</v>
      </c>
      <c r="J20" s="645">
        <v>0</v>
      </c>
      <c r="K20" s="638">
        <v>0</v>
      </c>
      <c r="L20" s="645">
        <v>0</v>
      </c>
      <c r="M20" s="638">
        <v>0</v>
      </c>
      <c r="N20" s="645">
        <v>0</v>
      </c>
      <c r="O20" s="629">
        <v>26</v>
      </c>
      <c r="P20" s="652">
        <f t="shared" si="0"/>
        <v>26</v>
      </c>
    </row>
    <row r="21" spans="1:16" s="121" customFormat="1" ht="13.5" customHeight="1">
      <c r="A21" s="828">
        <v>16</v>
      </c>
      <c r="B21" s="840" t="s">
        <v>197</v>
      </c>
      <c r="C21" s="602" t="s">
        <v>71</v>
      </c>
      <c r="D21" s="629">
        <v>299968</v>
      </c>
      <c r="E21" s="638">
        <v>395888</v>
      </c>
      <c r="F21" s="125">
        <v>381458</v>
      </c>
      <c r="G21" s="638">
        <v>292212</v>
      </c>
      <c r="H21" s="645">
        <v>331876</v>
      </c>
      <c r="I21" s="638">
        <v>296566</v>
      </c>
      <c r="J21" s="645">
        <v>199532</v>
      </c>
      <c r="K21" s="638">
        <v>334555</v>
      </c>
      <c r="L21" s="645">
        <v>306398</v>
      </c>
      <c r="M21" s="638">
        <v>408308</v>
      </c>
      <c r="N21" s="645">
        <v>389045</v>
      </c>
      <c r="O21" s="629">
        <v>447501</v>
      </c>
      <c r="P21" s="652">
        <f t="shared" si="0"/>
        <v>4083307</v>
      </c>
    </row>
    <row r="22" spans="1:16" s="121" customFormat="1" ht="12.75" customHeight="1" thickBot="1">
      <c r="A22" s="829">
        <v>17</v>
      </c>
      <c r="B22" s="841"/>
      <c r="C22" s="604" t="s">
        <v>72</v>
      </c>
      <c r="D22" s="629">
        <v>7212</v>
      </c>
      <c r="E22" s="638">
        <v>9652</v>
      </c>
      <c r="F22" s="125">
        <v>13376</v>
      </c>
      <c r="G22" s="638">
        <v>7672</v>
      </c>
      <c r="H22" s="645">
        <v>6700</v>
      </c>
      <c r="I22" s="638">
        <v>4450</v>
      </c>
      <c r="J22" s="645">
        <v>3448</v>
      </c>
      <c r="K22" s="638">
        <v>8746</v>
      </c>
      <c r="L22" s="645">
        <v>6346</v>
      </c>
      <c r="M22" s="638">
        <v>10650</v>
      </c>
      <c r="N22" s="645">
        <v>15722</v>
      </c>
      <c r="O22" s="629">
        <v>15198</v>
      </c>
      <c r="P22" s="652">
        <f t="shared" si="0"/>
        <v>109172</v>
      </c>
    </row>
    <row r="23" spans="1:16" s="121" customFormat="1" ht="15" customHeight="1" thickBot="1">
      <c r="A23" s="151">
        <v>17</v>
      </c>
      <c r="B23" s="605" t="s">
        <v>46</v>
      </c>
      <c r="C23" s="606" t="s">
        <v>70</v>
      </c>
      <c r="D23" s="629">
        <v>106324</v>
      </c>
      <c r="E23" s="119">
        <v>97293</v>
      </c>
      <c r="F23" s="125">
        <v>100972</v>
      </c>
      <c r="G23" s="638">
        <v>96362</v>
      </c>
      <c r="H23" s="645">
        <v>101447</v>
      </c>
      <c r="I23" s="638">
        <v>108366</v>
      </c>
      <c r="J23" s="645">
        <v>116373</v>
      </c>
      <c r="K23" s="638">
        <v>111580</v>
      </c>
      <c r="L23" s="645">
        <v>97069</v>
      </c>
      <c r="M23" s="638">
        <v>99253</v>
      </c>
      <c r="N23" s="645">
        <v>101905</v>
      </c>
      <c r="O23" s="629">
        <v>101812</v>
      </c>
      <c r="P23" s="652">
        <f t="shared" si="0"/>
        <v>1238756</v>
      </c>
    </row>
    <row r="24" spans="1:16" s="121" customFormat="1" ht="13.5" customHeight="1">
      <c r="A24" s="828">
        <v>18</v>
      </c>
      <c r="B24" s="840" t="s">
        <v>28</v>
      </c>
      <c r="C24" s="602" t="s">
        <v>71</v>
      </c>
      <c r="D24" s="629">
        <v>1984359</v>
      </c>
      <c r="E24" s="119">
        <v>3146402</v>
      </c>
      <c r="F24" s="125">
        <v>2716109</v>
      </c>
      <c r="G24" s="638">
        <v>2964519</v>
      </c>
      <c r="H24" s="645">
        <v>2935065</v>
      </c>
      <c r="I24" s="638">
        <v>2976206</v>
      </c>
      <c r="J24" s="645">
        <v>1553516</v>
      </c>
      <c r="K24" s="638">
        <v>2993065</v>
      </c>
      <c r="L24" s="645">
        <v>2883524</v>
      </c>
      <c r="M24" s="638">
        <v>3063630</v>
      </c>
      <c r="N24" s="645">
        <v>2713751</v>
      </c>
      <c r="O24" s="629">
        <v>2778139</v>
      </c>
      <c r="P24" s="652">
        <f t="shared" si="0"/>
        <v>32708285</v>
      </c>
    </row>
    <row r="25" spans="1:144" s="121" customFormat="1" ht="13.5" customHeight="1" thickBot="1">
      <c r="A25" s="829"/>
      <c r="B25" s="841"/>
      <c r="C25" s="604" t="s">
        <v>72</v>
      </c>
      <c r="D25" s="630">
        <v>0</v>
      </c>
      <c r="E25" s="594">
        <v>0</v>
      </c>
      <c r="F25" s="635">
        <v>0</v>
      </c>
      <c r="G25" s="638">
        <v>0</v>
      </c>
      <c r="H25" s="645">
        <v>0</v>
      </c>
      <c r="I25" s="638">
        <v>0</v>
      </c>
      <c r="J25" s="645">
        <v>0</v>
      </c>
      <c r="K25" s="638">
        <v>0</v>
      </c>
      <c r="L25" s="645">
        <v>0</v>
      </c>
      <c r="M25" s="638">
        <v>0</v>
      </c>
      <c r="N25" s="645">
        <v>0</v>
      </c>
      <c r="O25" s="630">
        <v>0</v>
      </c>
      <c r="P25" s="652">
        <f t="shared" si="0"/>
        <v>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</row>
    <row r="26" spans="1:144" s="121" customFormat="1" ht="13.5" customHeight="1" thickBot="1">
      <c r="A26" s="568"/>
      <c r="B26" s="603" t="s">
        <v>199</v>
      </c>
      <c r="C26" s="602" t="s">
        <v>71</v>
      </c>
      <c r="D26" s="630">
        <v>0</v>
      </c>
      <c r="E26" s="639">
        <v>0</v>
      </c>
      <c r="F26" s="635">
        <v>0</v>
      </c>
      <c r="G26" s="639">
        <v>0</v>
      </c>
      <c r="H26" s="646">
        <v>0</v>
      </c>
      <c r="I26" s="638">
        <v>0</v>
      </c>
      <c r="J26" s="646">
        <v>0</v>
      </c>
      <c r="K26" s="639">
        <v>0</v>
      </c>
      <c r="L26" s="646">
        <v>0</v>
      </c>
      <c r="M26" s="639">
        <v>727680</v>
      </c>
      <c r="N26" s="646">
        <v>177840</v>
      </c>
      <c r="O26" s="630">
        <v>207240</v>
      </c>
      <c r="P26" s="652">
        <f t="shared" si="0"/>
        <v>1112760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thickBot="1">
      <c r="A27" s="568"/>
      <c r="B27" s="603" t="s">
        <v>182</v>
      </c>
      <c r="C27" s="602" t="s">
        <v>71</v>
      </c>
      <c r="D27" s="630">
        <v>129812</v>
      </c>
      <c r="E27" s="639">
        <v>131345</v>
      </c>
      <c r="F27" s="635">
        <v>146444</v>
      </c>
      <c r="G27" s="639">
        <v>131684</v>
      </c>
      <c r="H27" s="646">
        <v>100016</v>
      </c>
      <c r="I27" s="639">
        <v>104018</v>
      </c>
      <c r="J27" s="646">
        <v>120407</v>
      </c>
      <c r="K27" s="639">
        <v>111500</v>
      </c>
      <c r="L27" s="646">
        <v>118008</v>
      </c>
      <c r="M27" s="639">
        <v>166866</v>
      </c>
      <c r="N27" s="646">
        <v>135620</v>
      </c>
      <c r="O27" s="630">
        <v>100319</v>
      </c>
      <c r="P27" s="652">
        <f t="shared" si="0"/>
        <v>1496039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231" s="121" customFormat="1" ht="16.5" customHeight="1" thickBot="1">
      <c r="A28" s="162"/>
      <c r="B28" s="608" t="s">
        <v>5</v>
      </c>
      <c r="C28" s="609"/>
      <c r="D28" s="631">
        <f>D6+D7+D8+D9+D10+D11+D12+D13+D14+D15+D16+D17+D18+D19+D20+D22+D23+D24+D21+D25+D27</f>
        <v>3247156</v>
      </c>
      <c r="E28" s="631">
        <f aca="true" t="shared" si="1" ref="E28:L28">E6+E7+E8+E9+E10+E11+E12+E13+E14+E15+E16+E17+E18+E19+E20+E22+E23+E24+E21+E25+E27</f>
        <v>5282968</v>
      </c>
      <c r="F28" s="723">
        <f t="shared" si="1"/>
        <v>4946840</v>
      </c>
      <c r="G28" s="723">
        <f>G6+G7+G8+G9+G10+G11+G12+G13+G14+G15+G16+G17+G18+G19+G20+G22+G23+G24+G21+G25+G27</f>
        <v>4945440</v>
      </c>
      <c r="H28" s="723">
        <f t="shared" si="1"/>
        <v>4896571</v>
      </c>
      <c r="I28" s="723">
        <f t="shared" si="1"/>
        <v>4838626</v>
      </c>
      <c r="J28" s="723">
        <f t="shared" si="1"/>
        <v>3076422</v>
      </c>
      <c r="K28" s="723">
        <f t="shared" si="1"/>
        <v>4858175</v>
      </c>
      <c r="L28" s="723">
        <f t="shared" si="1"/>
        <v>4770495</v>
      </c>
      <c r="M28" s="723">
        <f>M6+M7+M8+M9+M10+M11+M12+M13+M14+M15+M16+M17+M18+M19+M20+M22+M23+M24+M21+M25+M27+M26</f>
        <v>6017462</v>
      </c>
      <c r="N28" s="723">
        <f>N6+N7+N8+N9+N10+N11+N12+N13+N14+N15+N16+N17+N18+N19+N20+N22+N23+N24+N21+N25+N27+N26</f>
        <v>5032669</v>
      </c>
      <c r="O28" s="723">
        <f>O6+O7+O8+O9+O10+O11+O12+O13+O14+O15+O16+O17+O18+O19+O20+O22+O23+O24+O21+O25+O27+O26</f>
        <v>5131252</v>
      </c>
      <c r="P28" s="723">
        <f>P6+P7+P8+P9+P10+P11+P12+P13+P14+P15+P16+P17+P18+P19+P20+P22+P23+P24+P21+P25+P27+P26</f>
        <v>57044076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  <c r="FU28" s="166"/>
      <c r="FV28" s="166"/>
      <c r="FW28" s="166"/>
      <c r="FX28" s="166"/>
      <c r="FY28" s="166"/>
      <c r="FZ28" s="166"/>
      <c r="GA28" s="166"/>
      <c r="GB28" s="166"/>
      <c r="GC28" s="166"/>
      <c r="GD28" s="166"/>
      <c r="GE28" s="166"/>
      <c r="GF28" s="166"/>
      <c r="GG28" s="166"/>
      <c r="GH28" s="166"/>
      <c r="GI28" s="166"/>
      <c r="GJ28" s="166"/>
      <c r="GK28" s="166"/>
      <c r="GL28" s="166"/>
      <c r="GM28" s="166"/>
      <c r="GN28" s="166"/>
      <c r="GO28" s="166"/>
      <c r="GP28" s="166"/>
      <c r="GQ28" s="166"/>
      <c r="GR28" s="166"/>
      <c r="GS28" s="166"/>
      <c r="GT28" s="166"/>
      <c r="GU28" s="166"/>
      <c r="GV28" s="166"/>
      <c r="GW28" s="166"/>
      <c r="GX28" s="166"/>
      <c r="GY28" s="166"/>
      <c r="GZ28" s="166"/>
      <c r="HA28" s="166"/>
      <c r="HB28" s="166"/>
      <c r="HC28" s="166"/>
      <c r="HD28" s="166"/>
      <c r="HE28" s="166"/>
      <c r="HF28" s="166"/>
      <c r="HG28" s="166"/>
      <c r="HH28" s="166"/>
      <c r="HI28" s="166"/>
      <c r="HJ28" s="166"/>
      <c r="HK28" s="166"/>
      <c r="HL28" s="166"/>
      <c r="HM28" s="166"/>
      <c r="HN28" s="166"/>
      <c r="HO28" s="166"/>
      <c r="HP28" s="166"/>
      <c r="HQ28" s="166"/>
      <c r="HR28" s="166"/>
      <c r="HS28" s="166"/>
      <c r="HT28" s="166"/>
      <c r="HU28" s="166"/>
      <c r="HV28" s="166"/>
      <c r="HW28" s="166"/>
    </row>
    <row r="29" spans="1:16" s="121" customFormat="1" ht="16.5" customHeight="1">
      <c r="A29" s="131">
        <v>19</v>
      </c>
      <c r="B29" s="610" t="s">
        <v>64</v>
      </c>
      <c r="C29" s="596" t="s">
        <v>70</v>
      </c>
      <c r="D29" s="632">
        <v>940</v>
      </c>
      <c r="E29" s="632">
        <v>1596</v>
      </c>
      <c r="F29" s="721">
        <v>1080</v>
      </c>
      <c r="G29" s="715">
        <v>638</v>
      </c>
      <c r="H29" s="715">
        <v>740</v>
      </c>
      <c r="I29" s="715">
        <v>426</v>
      </c>
      <c r="J29" s="715">
        <v>427</v>
      </c>
      <c r="K29" s="715">
        <v>384</v>
      </c>
      <c r="L29" s="715">
        <v>940</v>
      </c>
      <c r="M29" s="715">
        <v>2303</v>
      </c>
      <c r="N29" s="715">
        <v>0</v>
      </c>
      <c r="O29" s="715">
        <v>5159</v>
      </c>
      <c r="P29" s="590">
        <f>SUM(D29+E29+F29+G29+H29+I29+J29+K29+L29+M29+N29+O29)</f>
        <v>14633</v>
      </c>
    </row>
    <row r="30" spans="1:16" s="121" customFormat="1" ht="15" customHeight="1" thickBot="1">
      <c r="A30" s="133">
        <v>20</v>
      </c>
      <c r="B30" s="611" t="s">
        <v>65</v>
      </c>
      <c r="C30" s="596" t="s">
        <v>70</v>
      </c>
      <c r="D30" s="633">
        <v>3300</v>
      </c>
      <c r="E30" s="633">
        <v>7308</v>
      </c>
      <c r="F30" s="721">
        <v>4120</v>
      </c>
      <c r="G30" s="715">
        <v>4137</v>
      </c>
      <c r="H30" s="715">
        <v>4713</v>
      </c>
      <c r="I30" s="715">
        <v>3836</v>
      </c>
      <c r="J30" s="715">
        <v>3201</v>
      </c>
      <c r="K30" s="715">
        <v>3855</v>
      </c>
      <c r="L30" s="715">
        <v>4906</v>
      </c>
      <c r="M30" s="715">
        <v>5205</v>
      </c>
      <c r="N30" s="715">
        <v>0</v>
      </c>
      <c r="O30" s="715">
        <v>8918</v>
      </c>
      <c r="P30" s="590">
        <f>SUM(D30+E30+F30+G30+H30+I30+J30+K30+L30+M30+N30+O30)</f>
        <v>53499</v>
      </c>
    </row>
    <row r="31" spans="1:16" s="121" customFormat="1" ht="15.75" customHeight="1" thickBot="1">
      <c r="A31" s="175"/>
      <c r="B31" s="612" t="s">
        <v>198</v>
      </c>
      <c r="C31" s="612"/>
      <c r="D31" s="634">
        <f>D29+D30</f>
        <v>4240</v>
      </c>
      <c r="E31" s="186">
        <f>E29+E30</f>
        <v>8904</v>
      </c>
      <c r="F31" s="570">
        <f>F29+F30</f>
        <v>5200</v>
      </c>
      <c r="G31" s="724">
        <f>G29+G30</f>
        <v>4775</v>
      </c>
      <c r="H31" s="570">
        <f aca="true" t="shared" si="2" ref="H31:P31">H29+H30</f>
        <v>5453</v>
      </c>
      <c r="I31" s="168">
        <f t="shared" si="2"/>
        <v>4262</v>
      </c>
      <c r="J31" s="725">
        <f t="shared" si="2"/>
        <v>3628</v>
      </c>
      <c r="K31" s="724">
        <f t="shared" si="2"/>
        <v>4239</v>
      </c>
      <c r="L31" s="570">
        <f t="shared" si="2"/>
        <v>5846</v>
      </c>
      <c r="M31" s="168">
        <f t="shared" si="2"/>
        <v>7508</v>
      </c>
      <c r="N31" s="168">
        <f t="shared" si="2"/>
        <v>0</v>
      </c>
      <c r="O31" s="725">
        <f t="shared" si="2"/>
        <v>14077</v>
      </c>
      <c r="P31" s="726">
        <f t="shared" si="2"/>
        <v>68132</v>
      </c>
    </row>
    <row r="32" spans="1:29" ht="56.25" customHeight="1">
      <c r="A32" s="705"/>
      <c r="B32" s="846" t="s">
        <v>184</v>
      </c>
      <c r="C32" s="844"/>
      <c r="D32" s="844"/>
      <c r="E32" s="844"/>
      <c r="F32" s="844"/>
      <c r="G32" s="845"/>
      <c r="H32" s="845"/>
      <c r="I32" s="845"/>
      <c r="J32" s="845"/>
      <c r="K32" s="698"/>
      <c r="L32" s="698"/>
      <c r="M32" s="698"/>
      <c r="N32" s="698"/>
      <c r="O32" s="701"/>
      <c r="P32" s="707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16" s="121" customFormat="1" ht="14.25" customHeight="1">
      <c r="A33" s="720">
        <v>21</v>
      </c>
      <c r="B33" s="714" t="s">
        <v>187</v>
      </c>
      <c r="C33" s="714" t="s">
        <v>72</v>
      </c>
      <c r="D33" s="721">
        <v>0</v>
      </c>
      <c r="E33" s="715">
        <v>0</v>
      </c>
      <c r="F33" s="721">
        <v>0</v>
      </c>
      <c r="G33" s="715">
        <v>0</v>
      </c>
      <c r="H33" s="715">
        <v>0</v>
      </c>
      <c r="I33" s="715">
        <v>0</v>
      </c>
      <c r="J33" s="715">
        <v>524</v>
      </c>
      <c r="K33" s="715">
        <v>429</v>
      </c>
      <c r="L33" s="715">
        <v>0</v>
      </c>
      <c r="M33" s="715">
        <v>0</v>
      </c>
      <c r="N33" s="715">
        <v>0</v>
      </c>
      <c r="O33" s="728">
        <v>0</v>
      </c>
      <c r="P33" s="576">
        <f aca="true" t="shared" si="3" ref="P33:P38">SUM(D33+E33+F33+G33+H33+I33+J33+K33+L33+M33+N33+O33)</f>
        <v>953</v>
      </c>
    </row>
    <row r="34" spans="1:16" s="121" customFormat="1" ht="15.75" customHeight="1" hidden="1" thickBot="1">
      <c r="A34" s="720">
        <v>24</v>
      </c>
      <c r="B34" s="714" t="s">
        <v>66</v>
      </c>
      <c r="C34" s="714" t="s">
        <v>72</v>
      </c>
      <c r="D34" s="721"/>
      <c r="E34" s="715"/>
      <c r="F34" s="721"/>
      <c r="G34" s="715"/>
      <c r="H34" s="715"/>
      <c r="I34" s="715"/>
      <c r="J34" s="715"/>
      <c r="K34" s="722"/>
      <c r="L34" s="722"/>
      <c r="M34" s="722"/>
      <c r="N34" s="722"/>
      <c r="O34" s="729"/>
      <c r="P34" s="576">
        <f t="shared" si="3"/>
        <v>0</v>
      </c>
    </row>
    <row r="35" spans="1:16" s="121" customFormat="1" ht="18.75" customHeight="1" hidden="1" thickBot="1">
      <c r="A35" s="720">
        <v>25</v>
      </c>
      <c r="B35" s="714" t="s">
        <v>41</v>
      </c>
      <c r="C35" s="714" t="s">
        <v>72</v>
      </c>
      <c r="D35" s="721"/>
      <c r="E35" s="715"/>
      <c r="F35" s="721"/>
      <c r="G35" s="715"/>
      <c r="H35" s="715"/>
      <c r="I35" s="715"/>
      <c r="J35" s="715"/>
      <c r="K35" s="722"/>
      <c r="L35" s="722"/>
      <c r="M35" s="722"/>
      <c r="N35" s="722"/>
      <c r="O35" s="729"/>
      <c r="P35" s="576">
        <f t="shared" si="3"/>
        <v>0</v>
      </c>
    </row>
    <row r="36" spans="1:16" s="121" customFormat="1" ht="18.75" customHeight="1" thickBot="1">
      <c r="A36" s="720">
        <v>22</v>
      </c>
      <c r="B36" s="714" t="s">
        <v>188</v>
      </c>
      <c r="C36" s="714" t="s">
        <v>72</v>
      </c>
      <c r="D36" s="721">
        <v>10626</v>
      </c>
      <c r="E36" s="715">
        <v>10878</v>
      </c>
      <c r="F36" s="721">
        <v>9996</v>
      </c>
      <c r="G36" s="715">
        <v>7728</v>
      </c>
      <c r="H36" s="715">
        <v>8652</v>
      </c>
      <c r="I36" s="715">
        <v>6090</v>
      </c>
      <c r="J36" s="715">
        <v>8526</v>
      </c>
      <c r="K36" s="715">
        <v>4620</v>
      </c>
      <c r="L36" s="715">
        <v>8526</v>
      </c>
      <c r="M36" s="715">
        <v>10668</v>
      </c>
      <c r="N36" s="715">
        <v>8736</v>
      </c>
      <c r="O36" s="728">
        <v>10332</v>
      </c>
      <c r="P36" s="576">
        <f t="shared" si="3"/>
        <v>105378</v>
      </c>
    </row>
    <row r="37" spans="1:16" s="121" customFormat="1" ht="16.5" customHeight="1" hidden="1" thickBot="1">
      <c r="A37" s="162">
        <v>27</v>
      </c>
      <c r="B37" s="709" t="s">
        <v>43</v>
      </c>
      <c r="C37" s="716" t="s">
        <v>72</v>
      </c>
      <c r="D37" s="712"/>
      <c r="E37" s="717"/>
      <c r="F37" s="718"/>
      <c r="G37" s="706"/>
      <c r="H37" s="696"/>
      <c r="I37" s="706"/>
      <c r="J37" s="696"/>
      <c r="K37" s="719"/>
      <c r="L37" s="719"/>
      <c r="M37" s="719"/>
      <c r="N37" s="719"/>
      <c r="O37" s="730"/>
      <c r="P37" s="576">
        <f t="shared" si="3"/>
        <v>0</v>
      </c>
    </row>
    <row r="38" spans="1:16" s="121" customFormat="1" ht="16.5" customHeight="1" thickBot="1">
      <c r="A38" s="185">
        <v>23</v>
      </c>
      <c r="B38" s="596" t="s">
        <v>190</v>
      </c>
      <c r="C38" s="714" t="s">
        <v>72</v>
      </c>
      <c r="D38" s="135">
        <v>0</v>
      </c>
      <c r="E38" s="134">
        <v>0</v>
      </c>
      <c r="F38" s="136">
        <v>0</v>
      </c>
      <c r="G38" s="638">
        <v>0</v>
      </c>
      <c r="H38" s="645">
        <v>0</v>
      </c>
      <c r="I38" s="638">
        <v>0</v>
      </c>
      <c r="J38" s="645">
        <v>0</v>
      </c>
      <c r="K38" s="638">
        <v>0</v>
      </c>
      <c r="L38" s="638">
        <v>0</v>
      </c>
      <c r="M38" s="645">
        <v>0</v>
      </c>
      <c r="N38" s="638">
        <v>0</v>
      </c>
      <c r="O38" s="645">
        <v>0</v>
      </c>
      <c r="P38" s="576">
        <f t="shared" si="3"/>
        <v>0</v>
      </c>
    </row>
    <row r="39" spans="1:17" ht="12.75" customHeight="1" thickBot="1">
      <c r="A39" s="88"/>
      <c r="B39" s="620" t="s">
        <v>5</v>
      </c>
      <c r="C39" s="713"/>
      <c r="D39" s="665">
        <f aca="true" t="shared" si="4" ref="D39:P39">D33+D34+D35+D37+D38+D36</f>
        <v>10626</v>
      </c>
      <c r="E39" s="665">
        <f t="shared" si="4"/>
        <v>10878</v>
      </c>
      <c r="F39" s="665">
        <f t="shared" si="4"/>
        <v>9996</v>
      </c>
      <c r="G39" s="665">
        <f t="shared" si="4"/>
        <v>7728</v>
      </c>
      <c r="H39" s="665">
        <f t="shared" si="4"/>
        <v>8652</v>
      </c>
      <c r="I39" s="665">
        <f t="shared" si="4"/>
        <v>6090</v>
      </c>
      <c r="J39" s="665">
        <f t="shared" si="4"/>
        <v>9050</v>
      </c>
      <c r="K39" s="665">
        <f t="shared" si="4"/>
        <v>5049</v>
      </c>
      <c r="L39" s="665">
        <f t="shared" si="4"/>
        <v>8526</v>
      </c>
      <c r="M39" s="665">
        <f t="shared" si="4"/>
        <v>10668</v>
      </c>
      <c r="N39" s="665">
        <f t="shared" si="4"/>
        <v>8736</v>
      </c>
      <c r="O39" s="665">
        <f t="shared" si="4"/>
        <v>10332</v>
      </c>
      <c r="P39" s="731">
        <f t="shared" si="4"/>
        <v>106331</v>
      </c>
      <c r="Q39" s="572"/>
    </row>
    <row r="40" spans="1:16" ht="15" customHeight="1" thickBot="1">
      <c r="A40" s="833"/>
      <c r="B40" s="837" t="s">
        <v>50</v>
      </c>
      <c r="C40" s="621"/>
      <c r="D40" s="674">
        <f aca="true" t="shared" si="5" ref="D40:L40">D39+D28+D31</f>
        <v>3262022</v>
      </c>
      <c r="E40" s="675">
        <f t="shared" si="5"/>
        <v>5302750</v>
      </c>
      <c r="F40" s="675">
        <f t="shared" si="5"/>
        <v>4962036</v>
      </c>
      <c r="G40" s="676">
        <f t="shared" si="5"/>
        <v>4957943</v>
      </c>
      <c r="H40" s="674">
        <f t="shared" si="5"/>
        <v>4910676</v>
      </c>
      <c r="I40" s="675">
        <f t="shared" si="5"/>
        <v>4848978</v>
      </c>
      <c r="J40" s="675">
        <f t="shared" si="5"/>
        <v>3089100</v>
      </c>
      <c r="K40" s="675">
        <f t="shared" si="5"/>
        <v>4867463</v>
      </c>
      <c r="L40" s="676">
        <f t="shared" si="5"/>
        <v>4784867</v>
      </c>
      <c r="M40" s="674">
        <f>M39+M28+M31</f>
        <v>6035638</v>
      </c>
      <c r="N40" s="674">
        <f>N39+N28+N31</f>
        <v>5041405</v>
      </c>
      <c r="O40" s="674">
        <f>O39+O28+O31</f>
        <v>5155661</v>
      </c>
      <c r="P40" s="674">
        <f>P39+P28+P31</f>
        <v>57218539</v>
      </c>
    </row>
    <row r="41" spans="1:25" ht="6" customHeight="1">
      <c r="A41" s="831"/>
      <c r="B41" s="838"/>
      <c r="C41" s="622"/>
      <c r="D41" s="623">
        <f>D40-D24-D22-D20</f>
        <v>1270451</v>
      </c>
      <c r="E41" s="623">
        <f>E40-E24-E22-E20</f>
        <v>2146696</v>
      </c>
      <c r="F41" s="623">
        <f>F40-F24-F22-F20</f>
        <v>2232551</v>
      </c>
      <c r="G41" s="437"/>
      <c r="H41" s="437"/>
      <c r="I41" s="437"/>
      <c r="J41" s="437"/>
      <c r="K41" s="437"/>
      <c r="L41" s="437"/>
      <c r="M41" s="437"/>
      <c r="N41" s="437"/>
      <c r="O41" s="437"/>
      <c r="P41" s="732"/>
      <c r="Q41" s="94"/>
      <c r="R41" s="32"/>
      <c r="S41" s="32"/>
      <c r="T41" s="32"/>
      <c r="U41" s="32"/>
      <c r="V41" s="32"/>
      <c r="W41" s="32"/>
      <c r="X41" s="32"/>
      <c r="Y41" s="32"/>
    </row>
    <row r="42" spans="1:25" ht="3" customHeight="1" thickBot="1">
      <c r="A42" s="831"/>
      <c r="B42" s="838"/>
      <c r="C42" s="624"/>
      <c r="D42" s="623">
        <f>D41+3680</f>
        <v>1274131</v>
      </c>
      <c r="E42" s="623">
        <f>E41+4000</f>
        <v>2150696</v>
      </c>
      <c r="F42" s="623">
        <f>F41+1120</f>
        <v>2233671</v>
      </c>
      <c r="G42" s="625"/>
      <c r="H42" s="625"/>
      <c r="I42" s="625"/>
      <c r="J42" s="625"/>
      <c r="K42" s="625"/>
      <c r="L42" s="625"/>
      <c r="M42" s="625"/>
      <c r="N42" s="625"/>
      <c r="O42" s="625"/>
      <c r="P42" s="673"/>
      <c r="Q42" s="32"/>
      <c r="R42" s="32"/>
      <c r="S42" s="32"/>
      <c r="T42" s="32"/>
      <c r="U42" s="32"/>
      <c r="V42" s="32"/>
      <c r="W42" s="32"/>
      <c r="X42" s="32"/>
      <c r="Y42" s="32"/>
    </row>
    <row r="43" spans="1:25" ht="13.5" thickBot="1">
      <c r="A43" s="831"/>
      <c r="B43" s="838"/>
      <c r="C43" s="679" t="s">
        <v>71</v>
      </c>
      <c r="D43" s="680">
        <f>D10+D20+D21+D24+D27</f>
        <v>2536766</v>
      </c>
      <c r="E43" s="680">
        <f aca="true" t="shared" si="6" ref="E43:P43">E10+E20+E21+E24+E27</f>
        <v>3792157</v>
      </c>
      <c r="F43" s="680">
        <f t="shared" si="6"/>
        <v>3392329</v>
      </c>
      <c r="G43" s="680">
        <f t="shared" si="6"/>
        <v>3520386</v>
      </c>
      <c r="H43" s="680">
        <f t="shared" si="6"/>
        <v>3478499</v>
      </c>
      <c r="I43" s="680">
        <f t="shared" si="6"/>
        <v>3522483</v>
      </c>
      <c r="J43" s="680">
        <f t="shared" si="6"/>
        <v>2019598</v>
      </c>
      <c r="K43" s="680">
        <f t="shared" si="6"/>
        <v>3587672</v>
      </c>
      <c r="L43" s="680">
        <f t="shared" si="6"/>
        <v>3448612</v>
      </c>
      <c r="M43" s="680">
        <f>M10+M20+M21+M24+M27+M26</f>
        <v>4521751</v>
      </c>
      <c r="N43" s="680">
        <f>N10+N20+N21+N24+N27+N26</f>
        <v>3561780</v>
      </c>
      <c r="O43" s="680">
        <f>O10+O20+O21+O24+O27+O26</f>
        <v>3703508</v>
      </c>
      <c r="P43" s="727">
        <f t="shared" si="6"/>
        <v>39972781</v>
      </c>
      <c r="Q43" s="32"/>
      <c r="R43" s="32"/>
      <c r="S43" s="32"/>
      <c r="T43" s="32"/>
      <c r="U43" s="32"/>
      <c r="V43" s="32"/>
      <c r="W43" s="32"/>
      <c r="X43" s="32"/>
      <c r="Y43" s="32"/>
    </row>
    <row r="44" spans="1:25" ht="13.5" thickBot="1">
      <c r="A44" s="831"/>
      <c r="B44" s="838"/>
      <c r="C44" s="679" t="s">
        <v>70</v>
      </c>
      <c r="D44" s="685">
        <f aca="true" t="shared" si="7" ref="D44:P44">SUM(D29:D30,D23,D18:D19,D16:D17,D13,D11,D6:D9)</f>
        <v>701578</v>
      </c>
      <c r="E44" s="686">
        <f t="shared" si="7"/>
        <v>1484243</v>
      </c>
      <c r="F44" s="687">
        <f t="shared" si="7"/>
        <v>1540427</v>
      </c>
      <c r="G44" s="687">
        <f t="shared" si="7"/>
        <v>1417857</v>
      </c>
      <c r="H44" s="687">
        <f t="shared" si="7"/>
        <v>1411585</v>
      </c>
      <c r="I44" s="687">
        <f t="shared" si="7"/>
        <v>1309472</v>
      </c>
      <c r="J44" s="687">
        <f t="shared" si="7"/>
        <v>1055132</v>
      </c>
      <c r="K44" s="687">
        <f t="shared" si="7"/>
        <v>1265156</v>
      </c>
      <c r="L44" s="687">
        <f t="shared" si="7"/>
        <v>1317783</v>
      </c>
      <c r="M44" s="687">
        <f t="shared" si="7"/>
        <v>1487229</v>
      </c>
      <c r="N44" s="687">
        <f t="shared" si="7"/>
        <v>1449887</v>
      </c>
      <c r="O44" s="688">
        <f t="shared" si="7"/>
        <v>1416217</v>
      </c>
      <c r="P44" s="688">
        <f t="shared" si="7"/>
        <v>15856566</v>
      </c>
      <c r="Q44" s="32"/>
      <c r="R44" s="32"/>
      <c r="S44" s="32"/>
      <c r="T44" s="32"/>
      <c r="U44" s="32"/>
      <c r="V44" s="32"/>
      <c r="W44" s="32"/>
      <c r="X44" s="32"/>
      <c r="Y44" s="32"/>
    </row>
    <row r="45" spans="1:25" ht="13.5" thickBot="1">
      <c r="A45" s="832"/>
      <c r="B45" s="839"/>
      <c r="C45" s="689" t="s">
        <v>72</v>
      </c>
      <c r="D45" s="680">
        <f>D40-D43-D44</f>
        <v>23678</v>
      </c>
      <c r="E45" s="681">
        <f>E40-E43-E44</f>
        <v>26350</v>
      </c>
      <c r="F45" s="682">
        <f>F40-F43-F44</f>
        <v>29280</v>
      </c>
      <c r="G45" s="682">
        <f aca="true" t="shared" si="8" ref="G45:L45">G40-G43-G44</f>
        <v>19700</v>
      </c>
      <c r="H45" s="682">
        <f t="shared" si="8"/>
        <v>20592</v>
      </c>
      <c r="I45" s="682">
        <f t="shared" si="8"/>
        <v>17023</v>
      </c>
      <c r="J45" s="682">
        <f t="shared" si="8"/>
        <v>14370</v>
      </c>
      <c r="K45" s="682">
        <f t="shared" si="8"/>
        <v>14635</v>
      </c>
      <c r="L45" s="682">
        <f t="shared" si="8"/>
        <v>18472</v>
      </c>
      <c r="M45" s="682">
        <f>M40-M43-M44</f>
        <v>26658</v>
      </c>
      <c r="N45" s="682">
        <f>N40-N43-N44</f>
        <v>29738</v>
      </c>
      <c r="O45" s="683">
        <f>O40-O43-O44</f>
        <v>35936</v>
      </c>
      <c r="P45" s="683">
        <f>P40-P43-P44</f>
        <v>1389192</v>
      </c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2.75">
      <c r="A46" s="90"/>
      <c r="B46" s="90"/>
      <c r="C46" s="90"/>
      <c r="D46" s="95"/>
      <c r="E46" s="90"/>
      <c r="F46" s="90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2.75">
      <c r="A47" s="90"/>
      <c r="B47" s="90"/>
      <c r="C47" s="90"/>
      <c r="D47" s="90"/>
      <c r="E47" s="90"/>
      <c r="F47" s="90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2.75">
      <c r="A48" s="90"/>
      <c r="B48" s="90"/>
      <c r="C48" s="90"/>
      <c r="D48" s="90"/>
      <c r="E48" s="90"/>
      <c r="F48" s="9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>
      <c r="A49" s="90"/>
      <c r="B49" s="90"/>
      <c r="C49" s="90"/>
      <c r="D49" s="90"/>
      <c r="E49" s="90"/>
      <c r="F49" s="90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0"/>
      <c r="B50" s="90"/>
      <c r="C50" s="90"/>
      <c r="D50" s="90"/>
      <c r="E50" s="90"/>
      <c r="F50" s="90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0"/>
      <c r="B51" s="90"/>
      <c r="C51" s="90"/>
      <c r="D51" s="90"/>
      <c r="E51" s="90"/>
      <c r="F51" s="9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>
      <c r="A52" s="90"/>
      <c r="B52" s="90"/>
      <c r="C52" s="90"/>
      <c r="D52" s="90"/>
      <c r="E52" s="90"/>
      <c r="F52" s="9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>
      <c r="A53" s="90"/>
      <c r="B53" s="90"/>
      <c r="C53" s="90"/>
      <c r="D53" s="90"/>
      <c r="E53" s="90"/>
      <c r="F53" s="9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>
      <c r="A54" s="90"/>
      <c r="B54" s="90"/>
      <c r="C54" s="90"/>
      <c r="D54" s="90"/>
      <c r="E54" s="90"/>
      <c r="F54" s="9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2.75">
      <c r="A55" s="90"/>
      <c r="B55" s="90"/>
      <c r="C55" s="90"/>
      <c r="D55" s="90"/>
      <c r="E55" s="90"/>
      <c r="F55" s="9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2.75">
      <c r="A56" s="90"/>
      <c r="B56" s="90"/>
      <c r="C56" s="90"/>
      <c r="D56" s="90"/>
      <c r="E56" s="90"/>
      <c r="F56" s="9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>
      <c r="A57" s="90"/>
      <c r="B57" s="90"/>
      <c r="C57" s="90"/>
      <c r="D57" s="90"/>
      <c r="E57" s="90"/>
      <c r="F57" s="90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6" ht="12.75">
      <c r="A58" s="97"/>
      <c r="B58" s="97"/>
      <c r="C58" s="97"/>
      <c r="D58" s="97"/>
      <c r="E58" s="97"/>
      <c r="F58" s="97"/>
    </row>
    <row r="59" spans="1:6" ht="12.75">
      <c r="A59" s="97"/>
      <c r="B59" s="97"/>
      <c r="C59" s="97"/>
      <c r="D59" s="97"/>
      <c r="E59" s="97"/>
      <c r="F59" s="97"/>
    </row>
    <row r="60" spans="1:6" ht="12.75">
      <c r="A60" s="97"/>
      <c r="B60" s="97"/>
      <c r="C60" s="97"/>
      <c r="D60" s="97"/>
      <c r="E60" s="97"/>
      <c r="F60" s="97"/>
    </row>
    <row r="61" spans="1:6" ht="12.75">
      <c r="A61" s="97"/>
      <c r="B61" s="97"/>
      <c r="C61" s="97"/>
      <c r="D61" s="97"/>
      <c r="E61" s="97"/>
      <c r="F61" s="97"/>
    </row>
    <row r="62" spans="1:6" ht="12.75">
      <c r="A62" s="97"/>
      <c r="B62" s="97"/>
      <c r="C62" s="97"/>
      <c r="D62" s="97"/>
      <c r="E62" s="97"/>
      <c r="F62" s="97"/>
    </row>
    <row r="63" spans="1:6" ht="12.75">
      <c r="A63" s="97"/>
      <c r="B63" s="97"/>
      <c r="C63" s="97"/>
      <c r="D63" s="97"/>
      <c r="E63" s="97"/>
      <c r="F63" s="97"/>
    </row>
    <row r="64" spans="1:6" ht="12.75">
      <c r="A64" s="97"/>
      <c r="B64" s="97"/>
      <c r="C64" s="97"/>
      <c r="D64" s="97"/>
      <c r="E64" s="97"/>
      <c r="F64" s="97"/>
    </row>
    <row r="65" spans="1:6" ht="12.75">
      <c r="A65" s="97"/>
      <c r="B65" s="97"/>
      <c r="C65" s="97"/>
      <c r="D65" s="97"/>
      <c r="E65" s="97"/>
      <c r="F65" s="97"/>
    </row>
    <row r="66" spans="1:6" ht="12.75">
      <c r="A66" s="97"/>
      <c r="B66" s="97"/>
      <c r="C66" s="97"/>
      <c r="D66" s="97"/>
      <c r="E66" s="97"/>
      <c r="F66" s="97"/>
    </row>
    <row r="67" spans="1:6" ht="12.75">
      <c r="A67" s="97"/>
      <c r="B67" s="97"/>
      <c r="C67" s="97"/>
      <c r="D67" s="97"/>
      <c r="E67" s="97"/>
      <c r="F67" s="97"/>
    </row>
    <row r="68" spans="1:6" ht="12.75">
      <c r="A68" s="97"/>
      <c r="B68" s="97"/>
      <c r="C68" s="97"/>
      <c r="D68" s="97"/>
      <c r="E68" s="97"/>
      <c r="F68" s="97"/>
    </row>
    <row r="69" spans="1:6" ht="12.75">
      <c r="A69" s="97"/>
      <c r="B69" s="97"/>
      <c r="C69" s="97"/>
      <c r="D69" s="97"/>
      <c r="E69" s="97"/>
      <c r="F69" s="97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</sheetData>
  <sheetProtection/>
  <mergeCells count="13">
    <mergeCell ref="A1:F1"/>
    <mergeCell ref="A2:F2"/>
    <mergeCell ref="A3:A4"/>
    <mergeCell ref="B3:B4"/>
    <mergeCell ref="C3:C4"/>
    <mergeCell ref="B32:J32"/>
    <mergeCell ref="A40:A45"/>
    <mergeCell ref="B40:B45"/>
    <mergeCell ref="B5:F5"/>
    <mergeCell ref="A21:A22"/>
    <mergeCell ref="B21:B22"/>
    <mergeCell ref="A24:A25"/>
    <mergeCell ref="B24:B2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W74"/>
  <sheetViews>
    <sheetView zoomScale="75" zoomScaleNormal="75" zoomScalePageLayoutView="0" workbookViewId="0" topLeftCell="A1">
      <pane xSplit="3" topLeftCell="D1" activePane="topRight" state="frozen"/>
      <selection pane="topLeft" activeCell="A3" sqref="A3"/>
      <selection pane="topRight" activeCell="A1" sqref="A1:IV16384"/>
    </sheetView>
  </sheetViews>
  <sheetFormatPr defaultColWidth="9.00390625" defaultRowHeight="12.75"/>
  <cols>
    <col min="1" max="1" width="3.625" style="17" customWidth="1"/>
    <col min="2" max="2" width="42.375" style="17" customWidth="1"/>
    <col min="3" max="3" width="6.875" style="17" customWidth="1"/>
    <col min="4" max="4" width="13.125" style="17" customWidth="1"/>
    <col min="5" max="5" width="14.00390625" style="17" customWidth="1"/>
    <col min="6" max="6" width="13.875" style="17" customWidth="1"/>
    <col min="7" max="7" width="17.375" style="17" customWidth="1"/>
    <col min="8" max="9" width="12.875" style="17" customWidth="1"/>
    <col min="10" max="10" width="14.125" style="17" customWidth="1"/>
    <col min="11" max="11" width="13.25390625" style="17" customWidth="1"/>
    <col min="12" max="12" width="13.00390625" style="17" customWidth="1"/>
    <col min="13" max="13" width="13.25390625" style="17" customWidth="1"/>
    <col min="14" max="14" width="13.875" style="17" bestFit="1" customWidth="1"/>
    <col min="15" max="15" width="13.125" style="17" customWidth="1"/>
    <col min="16" max="16" width="21.875" style="17" customWidth="1"/>
    <col min="17" max="16384" width="9.125" style="17" customWidth="1"/>
  </cols>
  <sheetData>
    <row r="1" spans="1:6" ht="35.25" customHeight="1">
      <c r="A1" s="824"/>
      <c r="B1" s="825"/>
      <c r="C1" s="825"/>
      <c r="D1" s="825"/>
      <c r="E1" s="825"/>
      <c r="F1" s="825"/>
    </row>
    <row r="2" spans="1:6" ht="60" customHeight="1" thickBot="1">
      <c r="A2" s="826" t="s">
        <v>201</v>
      </c>
      <c r="B2" s="827"/>
      <c r="C2" s="827"/>
      <c r="D2" s="827"/>
      <c r="E2" s="827"/>
      <c r="F2" s="827"/>
    </row>
    <row r="3" spans="1:16" ht="20.25" customHeight="1" thickBot="1">
      <c r="A3" s="822" t="s">
        <v>0</v>
      </c>
      <c r="B3" s="822" t="s">
        <v>1</v>
      </c>
      <c r="C3" s="822" t="s">
        <v>76</v>
      </c>
      <c r="D3" s="18" t="s">
        <v>3</v>
      </c>
      <c r="E3" s="18" t="s">
        <v>6</v>
      </c>
      <c r="F3" s="19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626">
        <v>2013</v>
      </c>
    </row>
    <row r="4" spans="1:16" ht="24" customHeight="1" thickBot="1">
      <c r="A4" s="823"/>
      <c r="B4" s="823"/>
      <c r="C4" s="823"/>
      <c r="D4" s="22" t="s">
        <v>4</v>
      </c>
      <c r="E4" s="22" t="s">
        <v>4</v>
      </c>
      <c r="F4" s="22" t="s">
        <v>4</v>
      </c>
      <c r="G4" s="22" t="s">
        <v>4</v>
      </c>
      <c r="H4" s="22" t="s">
        <v>4</v>
      </c>
      <c r="I4" s="22" t="s">
        <v>4</v>
      </c>
      <c r="J4" s="22" t="s">
        <v>4</v>
      </c>
      <c r="K4" s="22" t="s">
        <v>4</v>
      </c>
      <c r="L4" s="22" t="s">
        <v>4</v>
      </c>
      <c r="M4" s="22" t="s">
        <v>4</v>
      </c>
      <c r="N4" s="22" t="s">
        <v>4</v>
      </c>
      <c r="O4" s="22" t="s">
        <v>4</v>
      </c>
      <c r="P4" s="582" t="s">
        <v>4</v>
      </c>
    </row>
    <row r="5" spans="1:16" ht="9" customHeight="1" thickBot="1">
      <c r="A5" s="23"/>
      <c r="B5" s="796"/>
      <c r="C5" s="797"/>
      <c r="D5" s="797"/>
      <c r="E5" s="797"/>
      <c r="F5" s="797"/>
      <c r="P5" s="657"/>
    </row>
    <row r="6" spans="1:16" s="121" customFormat="1" ht="15" customHeight="1">
      <c r="A6" s="113">
        <v>1</v>
      </c>
      <c r="B6" s="595" t="s">
        <v>195</v>
      </c>
      <c r="C6" s="596" t="s">
        <v>70</v>
      </c>
      <c r="D6" s="627">
        <v>745</v>
      </c>
      <c r="E6" s="144">
        <v>769</v>
      </c>
      <c r="F6" s="141">
        <v>670</v>
      </c>
      <c r="G6" s="144">
        <v>456</v>
      </c>
      <c r="H6" s="643">
        <v>98</v>
      </c>
      <c r="I6" s="144">
        <v>100</v>
      </c>
      <c r="J6" s="643">
        <v>161</v>
      </c>
      <c r="K6" s="144">
        <v>142</v>
      </c>
      <c r="L6" s="643">
        <v>189</v>
      </c>
      <c r="M6" s="144">
        <v>415</v>
      </c>
      <c r="N6" s="643">
        <v>444</v>
      </c>
      <c r="O6" s="649">
        <v>666</v>
      </c>
      <c r="P6" s="656">
        <f aca="true" t="shared" si="0" ref="P6:P30">SUM(D6+E6+F6+G6+H6+I6+J6+K6+L6+M6+N6+O6)</f>
        <v>4855</v>
      </c>
    </row>
    <row r="7" spans="1:16" s="121" customFormat="1" ht="12" customHeight="1">
      <c r="A7" s="113">
        <v>2</v>
      </c>
      <c r="B7" s="595" t="s">
        <v>196</v>
      </c>
      <c r="C7" s="596" t="s">
        <v>70</v>
      </c>
      <c r="D7" s="628">
        <v>850</v>
      </c>
      <c r="E7" s="119">
        <v>750</v>
      </c>
      <c r="F7" s="118">
        <v>700</v>
      </c>
      <c r="G7" s="119">
        <v>600</v>
      </c>
      <c r="H7" s="644">
        <v>450</v>
      </c>
      <c r="I7" s="119">
        <v>550</v>
      </c>
      <c r="J7" s="644">
        <v>600</v>
      </c>
      <c r="K7" s="119">
        <v>550</v>
      </c>
      <c r="L7" s="644">
        <v>950</v>
      </c>
      <c r="M7" s="119">
        <v>1500</v>
      </c>
      <c r="N7" s="644">
        <v>1000</v>
      </c>
      <c r="O7" s="629">
        <v>1200</v>
      </c>
      <c r="P7" s="652">
        <f t="shared" si="0"/>
        <v>9700</v>
      </c>
    </row>
    <row r="8" spans="1:16" s="121" customFormat="1" ht="14.25" customHeight="1">
      <c r="A8" s="113">
        <v>3</v>
      </c>
      <c r="B8" s="595" t="s">
        <v>48</v>
      </c>
      <c r="C8" s="596" t="s">
        <v>70</v>
      </c>
      <c r="D8" s="628">
        <v>3935</v>
      </c>
      <c r="E8" s="119">
        <v>4052</v>
      </c>
      <c r="F8" s="118">
        <v>3606</v>
      </c>
      <c r="G8" s="119">
        <v>4006</v>
      </c>
      <c r="H8" s="644">
        <v>4354</v>
      </c>
      <c r="I8" s="119">
        <v>6822</v>
      </c>
      <c r="J8" s="644">
        <v>7700</v>
      </c>
      <c r="K8" s="119">
        <v>7709</v>
      </c>
      <c r="L8" s="644">
        <v>4809</v>
      </c>
      <c r="M8" s="119">
        <v>4607</v>
      </c>
      <c r="N8" s="644">
        <v>4660</v>
      </c>
      <c r="O8" s="629">
        <v>3968</v>
      </c>
      <c r="P8" s="652">
        <f t="shared" si="0"/>
        <v>60228</v>
      </c>
    </row>
    <row r="9" spans="1:16" s="121" customFormat="1" ht="18" customHeight="1">
      <c r="A9" s="122">
        <v>4</v>
      </c>
      <c r="B9" s="595" t="s">
        <v>36</v>
      </c>
      <c r="C9" s="596" t="s">
        <v>70</v>
      </c>
      <c r="D9" s="628">
        <v>1351</v>
      </c>
      <c r="E9" s="119">
        <v>1631</v>
      </c>
      <c r="F9" s="118">
        <v>1475</v>
      </c>
      <c r="G9" s="119">
        <v>861</v>
      </c>
      <c r="H9" s="644">
        <v>382</v>
      </c>
      <c r="I9" s="119">
        <v>562</v>
      </c>
      <c r="J9" s="644">
        <v>560</v>
      </c>
      <c r="K9" s="119">
        <v>547</v>
      </c>
      <c r="L9" s="644">
        <v>531</v>
      </c>
      <c r="M9" s="119">
        <v>479</v>
      </c>
      <c r="N9" s="644">
        <v>562</v>
      </c>
      <c r="O9" s="629">
        <v>1106</v>
      </c>
      <c r="P9" s="652">
        <f t="shared" si="0"/>
        <v>10047</v>
      </c>
    </row>
    <row r="10" spans="1:16" s="121" customFormat="1" ht="13.5" customHeight="1">
      <c r="A10" s="122">
        <v>5</v>
      </c>
      <c r="B10" s="595" t="s">
        <v>193</v>
      </c>
      <c r="C10" s="596" t="s">
        <v>71</v>
      </c>
      <c r="D10" s="628">
        <v>174516</v>
      </c>
      <c r="E10" s="119">
        <v>176080</v>
      </c>
      <c r="F10" s="118">
        <v>176227</v>
      </c>
      <c r="G10" s="119">
        <v>161541</v>
      </c>
      <c r="H10" s="644">
        <v>102485</v>
      </c>
      <c r="I10" s="119">
        <v>136425</v>
      </c>
      <c r="J10" s="644">
        <v>138493</v>
      </c>
      <c r="K10" s="119">
        <v>178204</v>
      </c>
      <c r="L10" s="644">
        <v>211548</v>
      </c>
      <c r="M10" s="119">
        <v>218917</v>
      </c>
      <c r="N10" s="644">
        <v>188536</v>
      </c>
      <c r="O10" s="629">
        <v>232430</v>
      </c>
      <c r="P10" s="652">
        <f t="shared" si="0"/>
        <v>2095402</v>
      </c>
    </row>
    <row r="11" spans="1:16" s="121" customFormat="1" ht="18" customHeight="1">
      <c r="A11" s="122">
        <v>6</v>
      </c>
      <c r="B11" s="595" t="s">
        <v>191</v>
      </c>
      <c r="C11" s="596" t="s">
        <v>70</v>
      </c>
      <c r="D11" s="628">
        <v>16138</v>
      </c>
      <c r="E11" s="119">
        <v>22590</v>
      </c>
      <c r="F11" s="118">
        <v>17420</v>
      </c>
      <c r="G11" s="119">
        <v>19623</v>
      </c>
      <c r="H11" s="644">
        <v>12775</v>
      </c>
      <c r="I11" s="119">
        <v>9052</v>
      </c>
      <c r="J11" s="644">
        <v>7651</v>
      </c>
      <c r="K11" s="119">
        <v>8292</v>
      </c>
      <c r="L11" s="644">
        <v>10493</v>
      </c>
      <c r="M11" s="119">
        <v>14376</v>
      </c>
      <c r="N11" s="644">
        <v>17220</v>
      </c>
      <c r="O11" s="629">
        <v>15177</v>
      </c>
      <c r="P11" s="652">
        <f t="shared" si="0"/>
        <v>170807</v>
      </c>
    </row>
    <row r="12" spans="1:16" s="121" customFormat="1" ht="23.25" customHeight="1">
      <c r="A12" s="122">
        <v>7</v>
      </c>
      <c r="B12" s="595" t="s">
        <v>19</v>
      </c>
      <c r="C12" s="596" t="s">
        <v>72</v>
      </c>
      <c r="D12" s="629">
        <v>0</v>
      </c>
      <c r="E12" s="715">
        <v>0</v>
      </c>
      <c r="F12" s="118">
        <v>0</v>
      </c>
      <c r="G12" s="638">
        <v>0</v>
      </c>
      <c r="H12" s="645">
        <v>0</v>
      </c>
      <c r="I12" s="638">
        <v>0</v>
      </c>
      <c r="J12" s="645">
        <v>0</v>
      </c>
      <c r="K12" s="638">
        <v>0</v>
      </c>
      <c r="L12" s="645">
        <v>0</v>
      </c>
      <c r="M12" s="638">
        <v>0</v>
      </c>
      <c r="N12" s="645">
        <v>0</v>
      </c>
      <c r="O12" s="629">
        <v>0</v>
      </c>
      <c r="P12" s="652">
        <f t="shared" si="0"/>
        <v>0</v>
      </c>
    </row>
    <row r="13" spans="1:16" s="121" customFormat="1" ht="26.25" customHeight="1">
      <c r="A13" s="122">
        <v>8</v>
      </c>
      <c r="B13" s="595" t="s">
        <v>35</v>
      </c>
      <c r="C13" s="596" t="s">
        <v>70</v>
      </c>
      <c r="D13" s="629">
        <v>0</v>
      </c>
      <c r="E13" s="119">
        <v>0</v>
      </c>
      <c r="F13" s="118">
        <v>0</v>
      </c>
      <c r="G13" s="638">
        <v>0</v>
      </c>
      <c r="H13" s="645">
        <v>450</v>
      </c>
      <c r="I13" s="638">
        <v>1130</v>
      </c>
      <c r="J13" s="645">
        <v>1060</v>
      </c>
      <c r="K13" s="638">
        <v>760</v>
      </c>
      <c r="L13" s="645">
        <v>730</v>
      </c>
      <c r="M13" s="638">
        <v>600</v>
      </c>
      <c r="N13" s="645">
        <v>330</v>
      </c>
      <c r="O13" s="629">
        <v>60</v>
      </c>
      <c r="P13" s="652">
        <f t="shared" si="0"/>
        <v>5120</v>
      </c>
    </row>
    <row r="14" spans="1:16" s="121" customFormat="1" ht="15.75" customHeight="1">
      <c r="A14" s="122">
        <v>9</v>
      </c>
      <c r="B14" s="595" t="s">
        <v>20</v>
      </c>
      <c r="C14" s="596" t="s">
        <v>72</v>
      </c>
      <c r="D14" s="629">
        <v>0</v>
      </c>
      <c r="E14" s="715">
        <v>0</v>
      </c>
      <c r="F14" s="118">
        <v>0</v>
      </c>
      <c r="G14" s="638">
        <v>1797</v>
      </c>
      <c r="H14" s="645">
        <v>0</v>
      </c>
      <c r="I14" s="638">
        <v>0</v>
      </c>
      <c r="J14" s="645">
        <v>90</v>
      </c>
      <c r="K14" s="638">
        <v>0</v>
      </c>
      <c r="L14" s="645">
        <v>0</v>
      </c>
      <c r="M14" s="638">
        <v>0</v>
      </c>
      <c r="N14" s="645">
        <v>0</v>
      </c>
      <c r="O14" s="629">
        <v>4224</v>
      </c>
      <c r="P14" s="652">
        <f t="shared" si="0"/>
        <v>6111</v>
      </c>
    </row>
    <row r="15" spans="1:16" s="121" customFormat="1" ht="17.25" customHeight="1">
      <c r="A15" s="122">
        <v>10</v>
      </c>
      <c r="B15" s="595" t="s">
        <v>21</v>
      </c>
      <c r="C15" s="596" t="s">
        <v>72</v>
      </c>
      <c r="D15" s="629">
        <v>4140</v>
      </c>
      <c r="E15" s="119">
        <v>4020</v>
      </c>
      <c r="F15" s="118">
        <v>4020</v>
      </c>
      <c r="G15" s="638">
        <v>3180</v>
      </c>
      <c r="H15" s="645">
        <v>2040</v>
      </c>
      <c r="I15" s="638">
        <v>1800</v>
      </c>
      <c r="J15" s="645">
        <v>780</v>
      </c>
      <c r="K15" s="638">
        <v>600</v>
      </c>
      <c r="L15" s="645">
        <v>3360</v>
      </c>
      <c r="M15" s="638">
        <v>4680</v>
      </c>
      <c r="N15" s="645">
        <v>4320</v>
      </c>
      <c r="O15" s="629">
        <v>4980</v>
      </c>
      <c r="P15" s="652">
        <f t="shared" si="0"/>
        <v>37920</v>
      </c>
    </row>
    <row r="16" spans="1:16" s="121" customFormat="1" ht="15.75" customHeight="1">
      <c r="A16" s="122">
        <v>11</v>
      </c>
      <c r="B16" s="595" t="s">
        <v>63</v>
      </c>
      <c r="C16" s="596" t="s">
        <v>70</v>
      </c>
      <c r="D16" s="629">
        <v>573877</v>
      </c>
      <c r="E16" s="119">
        <v>1065852</v>
      </c>
      <c r="F16" s="118">
        <v>1153444</v>
      </c>
      <c r="G16" s="638">
        <v>1136266</v>
      </c>
      <c r="H16" s="645">
        <v>776703</v>
      </c>
      <c r="I16" s="638">
        <v>1049560</v>
      </c>
      <c r="J16" s="645">
        <v>784568</v>
      </c>
      <c r="K16" s="638">
        <v>858279</v>
      </c>
      <c r="L16" s="645">
        <v>916328</v>
      </c>
      <c r="M16" s="638">
        <v>1049915</v>
      </c>
      <c r="N16" s="645">
        <v>967533</v>
      </c>
      <c r="O16" s="629">
        <v>1000186</v>
      </c>
      <c r="P16" s="652">
        <f t="shared" si="0"/>
        <v>11332511</v>
      </c>
    </row>
    <row r="17" spans="1:16" s="121" customFormat="1" ht="22.5" customHeight="1">
      <c r="A17" s="122">
        <v>12</v>
      </c>
      <c r="B17" s="598" t="s">
        <v>73</v>
      </c>
      <c r="C17" s="596" t="s">
        <v>70</v>
      </c>
      <c r="D17" s="629">
        <v>0</v>
      </c>
      <c r="E17" s="715">
        <v>0</v>
      </c>
      <c r="F17" s="125">
        <v>501</v>
      </c>
      <c r="G17" s="638">
        <v>146</v>
      </c>
      <c r="H17" s="645">
        <v>3630</v>
      </c>
      <c r="I17" s="638">
        <v>4420</v>
      </c>
      <c r="J17" s="645">
        <v>5396</v>
      </c>
      <c r="K17" s="638">
        <v>4160</v>
      </c>
      <c r="L17" s="645">
        <v>3940</v>
      </c>
      <c r="M17" s="638">
        <v>200</v>
      </c>
      <c r="N17" s="645">
        <v>0</v>
      </c>
      <c r="O17" s="629">
        <v>0</v>
      </c>
      <c r="P17" s="652">
        <f t="shared" si="0"/>
        <v>22393</v>
      </c>
    </row>
    <row r="18" spans="1:16" s="121" customFormat="1" ht="16.5" customHeight="1">
      <c r="A18" s="122">
        <v>14</v>
      </c>
      <c r="B18" s="595" t="s">
        <v>31</v>
      </c>
      <c r="C18" s="596" t="s">
        <v>70</v>
      </c>
      <c r="D18" s="629">
        <v>723</v>
      </c>
      <c r="E18" s="638">
        <v>754</v>
      </c>
      <c r="F18" s="125">
        <v>454</v>
      </c>
      <c r="G18" s="638">
        <v>746</v>
      </c>
      <c r="H18" s="645">
        <v>506</v>
      </c>
      <c r="I18" s="638">
        <v>382</v>
      </c>
      <c r="J18" s="645">
        <v>296</v>
      </c>
      <c r="K18" s="638">
        <v>304</v>
      </c>
      <c r="L18" s="645">
        <v>227</v>
      </c>
      <c r="M18" s="638">
        <v>296</v>
      </c>
      <c r="N18" s="645">
        <v>311</v>
      </c>
      <c r="O18" s="629">
        <v>100</v>
      </c>
      <c r="P18" s="652">
        <f t="shared" si="0"/>
        <v>5099</v>
      </c>
    </row>
    <row r="19" spans="1:16" s="121" customFormat="1" ht="18.75" customHeight="1">
      <c r="A19" s="122">
        <v>15</v>
      </c>
      <c r="B19" s="599" t="s">
        <v>34</v>
      </c>
      <c r="C19" s="596" t="s">
        <v>70</v>
      </c>
      <c r="D19" s="629">
        <v>7020</v>
      </c>
      <c r="E19" s="119">
        <v>16260</v>
      </c>
      <c r="F19" s="125">
        <v>15340</v>
      </c>
      <c r="G19" s="638">
        <v>18420</v>
      </c>
      <c r="H19" s="645">
        <v>11820</v>
      </c>
      <c r="I19" s="638">
        <v>16820</v>
      </c>
      <c r="J19" s="645">
        <v>17980</v>
      </c>
      <c r="K19" s="638">
        <v>3200</v>
      </c>
      <c r="L19" s="645">
        <v>0</v>
      </c>
      <c r="M19" s="638">
        <v>2820</v>
      </c>
      <c r="N19" s="645">
        <v>1160</v>
      </c>
      <c r="O19" s="629">
        <v>1020</v>
      </c>
      <c r="P19" s="652">
        <f t="shared" si="0"/>
        <v>111860</v>
      </c>
    </row>
    <row r="20" spans="1:16" s="121" customFormat="1" ht="16.5" customHeight="1" thickBot="1">
      <c r="A20" s="132">
        <v>16</v>
      </c>
      <c r="B20" s="600" t="s">
        <v>200</v>
      </c>
      <c r="C20" s="601" t="s">
        <v>72</v>
      </c>
      <c r="D20" s="629">
        <v>205</v>
      </c>
      <c r="E20" s="638">
        <v>24</v>
      </c>
      <c r="F20" s="125">
        <v>72</v>
      </c>
      <c r="G20" s="638">
        <v>78</v>
      </c>
      <c r="H20" s="645">
        <v>48</v>
      </c>
      <c r="I20" s="638">
        <v>41</v>
      </c>
      <c r="J20" s="645">
        <v>79</v>
      </c>
      <c r="K20" s="638">
        <v>123</v>
      </c>
      <c r="L20" s="645">
        <v>97</v>
      </c>
      <c r="M20" s="638">
        <v>121</v>
      </c>
      <c r="N20" s="645">
        <v>55</v>
      </c>
      <c r="O20" s="629">
        <v>81</v>
      </c>
      <c r="P20" s="652">
        <f t="shared" si="0"/>
        <v>1024</v>
      </c>
    </row>
    <row r="21" spans="1:16" s="121" customFormat="1" ht="13.5" customHeight="1">
      <c r="A21" s="828">
        <v>16</v>
      </c>
      <c r="B21" s="840" t="s">
        <v>197</v>
      </c>
      <c r="C21" s="602" t="s">
        <v>71</v>
      </c>
      <c r="D21" s="629">
        <v>289874</v>
      </c>
      <c r="E21" s="638">
        <v>397663</v>
      </c>
      <c r="F21" s="125">
        <v>395593</v>
      </c>
      <c r="G21" s="638">
        <v>382928</v>
      </c>
      <c r="H21" s="645">
        <v>226396</v>
      </c>
      <c r="I21" s="638">
        <v>320603</v>
      </c>
      <c r="J21" s="645">
        <v>362397</v>
      </c>
      <c r="K21" s="638">
        <v>375477</v>
      </c>
      <c r="L21" s="645">
        <v>352792</v>
      </c>
      <c r="M21" s="638">
        <v>388115</v>
      </c>
      <c r="N21" s="645">
        <v>342900</v>
      </c>
      <c r="O21" s="629">
        <v>279150</v>
      </c>
      <c r="P21" s="652">
        <f t="shared" si="0"/>
        <v>4113888</v>
      </c>
    </row>
    <row r="22" spans="1:16" s="121" customFormat="1" ht="12.75" customHeight="1" thickBot="1">
      <c r="A22" s="829">
        <v>17</v>
      </c>
      <c r="B22" s="841"/>
      <c r="C22" s="604" t="s">
        <v>72</v>
      </c>
      <c r="D22" s="629"/>
      <c r="E22" s="638"/>
      <c r="F22" s="125"/>
      <c r="G22" s="638"/>
      <c r="H22" s="645"/>
      <c r="I22" s="638"/>
      <c r="J22" s="645"/>
      <c r="K22" s="638"/>
      <c r="L22" s="645">
        <v>0</v>
      </c>
      <c r="M22" s="638"/>
      <c r="N22" s="645"/>
      <c r="O22" s="629"/>
      <c r="P22" s="652">
        <f t="shared" si="0"/>
        <v>0</v>
      </c>
    </row>
    <row r="23" spans="1:16" s="121" customFormat="1" ht="15" customHeight="1" thickBot="1">
      <c r="A23" s="151">
        <v>17</v>
      </c>
      <c r="B23" s="605" t="s">
        <v>46</v>
      </c>
      <c r="C23" s="606" t="s">
        <v>70</v>
      </c>
      <c r="D23" s="629">
        <v>99370</v>
      </c>
      <c r="E23" s="119">
        <v>91306</v>
      </c>
      <c r="F23" s="125">
        <v>97919</v>
      </c>
      <c r="G23" s="638">
        <v>94524</v>
      </c>
      <c r="H23" s="645">
        <v>101799</v>
      </c>
      <c r="I23" s="638">
        <v>104406</v>
      </c>
      <c r="J23" s="645">
        <v>110434</v>
      </c>
      <c r="K23" s="638">
        <v>105356</v>
      </c>
      <c r="L23" s="645">
        <v>86682</v>
      </c>
      <c r="M23" s="638">
        <v>91897</v>
      </c>
      <c r="N23" s="645">
        <v>91532</v>
      </c>
      <c r="O23" s="629">
        <v>94736</v>
      </c>
      <c r="P23" s="652">
        <f t="shared" si="0"/>
        <v>1169961</v>
      </c>
    </row>
    <row r="24" spans="1:16" s="121" customFormat="1" ht="13.5" customHeight="1">
      <c r="A24" s="828">
        <v>18</v>
      </c>
      <c r="B24" s="840" t="s">
        <v>28</v>
      </c>
      <c r="C24" s="602" t="s">
        <v>71</v>
      </c>
      <c r="D24" s="629">
        <v>1670956</v>
      </c>
      <c r="E24" s="119">
        <v>2702362</v>
      </c>
      <c r="F24" s="125">
        <v>2908710</v>
      </c>
      <c r="G24" s="638">
        <v>2905719</v>
      </c>
      <c r="H24" s="645">
        <v>2081361</v>
      </c>
      <c r="I24" s="638">
        <v>2495989</v>
      </c>
      <c r="J24" s="645">
        <v>2519294</v>
      </c>
      <c r="K24" s="638">
        <v>2992812</v>
      </c>
      <c r="L24" s="645">
        <v>2624794</v>
      </c>
      <c r="M24" s="638">
        <v>3036275</v>
      </c>
      <c r="N24" s="645">
        <v>2538176</v>
      </c>
      <c r="O24" s="629">
        <v>2048854</v>
      </c>
      <c r="P24" s="652">
        <f t="shared" si="0"/>
        <v>30525302</v>
      </c>
    </row>
    <row r="25" spans="1:144" s="121" customFormat="1" ht="13.5" customHeight="1" thickBot="1">
      <c r="A25" s="829"/>
      <c r="B25" s="841"/>
      <c r="C25" s="604" t="s">
        <v>72</v>
      </c>
      <c r="D25" s="630"/>
      <c r="E25" s="594"/>
      <c r="F25" s="635"/>
      <c r="G25" s="638"/>
      <c r="H25" s="645"/>
      <c r="I25" s="638"/>
      <c r="J25" s="645"/>
      <c r="K25" s="638"/>
      <c r="L25" s="645"/>
      <c r="M25" s="638"/>
      <c r="N25" s="645"/>
      <c r="O25" s="630"/>
      <c r="P25" s="652">
        <f t="shared" si="0"/>
        <v>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</row>
    <row r="26" spans="1:144" s="121" customFormat="1" ht="13.5" customHeight="1" thickBot="1">
      <c r="A26" s="568"/>
      <c r="B26" s="603" t="s">
        <v>199</v>
      </c>
      <c r="C26" s="602" t="s">
        <v>71</v>
      </c>
      <c r="D26" s="630">
        <v>198960</v>
      </c>
      <c r="E26" s="639">
        <v>207600</v>
      </c>
      <c r="F26" s="635">
        <v>204600</v>
      </c>
      <c r="G26" s="639">
        <v>222960</v>
      </c>
      <c r="H26" s="646">
        <v>198840</v>
      </c>
      <c r="I26" s="638">
        <v>240360</v>
      </c>
      <c r="J26" s="646">
        <v>297360</v>
      </c>
      <c r="K26" s="639">
        <v>256800</v>
      </c>
      <c r="L26" s="646">
        <v>210240</v>
      </c>
      <c r="M26" s="639">
        <v>210840</v>
      </c>
      <c r="N26" s="646">
        <v>205680</v>
      </c>
      <c r="O26" s="630">
        <v>228480</v>
      </c>
      <c r="P26" s="652">
        <f t="shared" si="0"/>
        <v>2682720</v>
      </c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</row>
    <row r="27" spans="1:144" s="121" customFormat="1" ht="13.5" customHeight="1" thickBot="1">
      <c r="A27" s="568"/>
      <c r="B27" s="603" t="s">
        <v>182</v>
      </c>
      <c r="C27" s="602" t="s">
        <v>71</v>
      </c>
      <c r="D27" s="630">
        <v>85900</v>
      </c>
      <c r="E27" s="639">
        <v>107930</v>
      </c>
      <c r="F27" s="635">
        <v>125312</v>
      </c>
      <c r="G27" s="639">
        <v>124367</v>
      </c>
      <c r="H27" s="646">
        <v>69256</v>
      </c>
      <c r="I27" s="639">
        <v>79465</v>
      </c>
      <c r="J27" s="646">
        <v>74073</v>
      </c>
      <c r="K27" s="639">
        <v>100275</v>
      </c>
      <c r="L27" s="646">
        <v>98989</v>
      </c>
      <c r="M27" s="639">
        <v>140049</v>
      </c>
      <c r="N27" s="646">
        <v>138536</v>
      </c>
      <c r="O27" s="630">
        <v>146096</v>
      </c>
      <c r="P27" s="652">
        <f t="shared" si="0"/>
        <v>1290248</v>
      </c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</row>
    <row r="28" spans="1:144" s="121" customFormat="1" ht="13.5" customHeight="1" thickBot="1">
      <c r="A28" s="568"/>
      <c r="B28" s="603" t="s">
        <v>202</v>
      </c>
      <c r="C28" s="602" t="s">
        <v>71</v>
      </c>
      <c r="D28" s="723"/>
      <c r="E28" s="723"/>
      <c r="F28" s="733">
        <v>1956300</v>
      </c>
      <c r="G28" s="723">
        <v>1796600</v>
      </c>
      <c r="H28" s="733">
        <v>1351100</v>
      </c>
      <c r="I28" s="723">
        <v>1664100</v>
      </c>
      <c r="J28" s="733">
        <v>1656700</v>
      </c>
      <c r="K28" s="723">
        <v>1819000</v>
      </c>
      <c r="L28" s="733">
        <v>1637200</v>
      </c>
      <c r="M28" s="723">
        <v>1975200</v>
      </c>
      <c r="N28" s="733">
        <v>1971100</v>
      </c>
      <c r="O28" s="723">
        <v>1451528</v>
      </c>
      <c r="P28" s="734">
        <f t="shared" si="0"/>
        <v>17278828</v>
      </c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</row>
    <row r="29" spans="1:144" s="121" customFormat="1" ht="13.5" customHeight="1" thickBot="1">
      <c r="A29" s="568"/>
      <c r="B29" s="603" t="s">
        <v>203</v>
      </c>
      <c r="C29" s="596" t="s">
        <v>70</v>
      </c>
      <c r="D29" s="723"/>
      <c r="E29" s="723"/>
      <c r="F29" s="733"/>
      <c r="G29" s="723"/>
      <c r="H29" s="733"/>
      <c r="I29" s="723"/>
      <c r="J29" s="733">
        <v>10016</v>
      </c>
      <c r="K29" s="723">
        <f>8525+1824</f>
        <v>10349</v>
      </c>
      <c r="L29" s="733">
        <f>6015+8525</f>
        <v>14540</v>
      </c>
      <c r="M29" s="723">
        <v>11233</v>
      </c>
      <c r="N29" s="733">
        <v>13939</v>
      </c>
      <c r="O29" s="723">
        <v>17849</v>
      </c>
      <c r="P29" s="734">
        <f t="shared" si="0"/>
        <v>77926</v>
      </c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</row>
    <row r="30" spans="1:144" s="121" customFormat="1" ht="13.5" customHeight="1" thickBot="1">
      <c r="A30" s="568"/>
      <c r="B30" s="603" t="s">
        <v>204</v>
      </c>
      <c r="C30" s="596" t="s">
        <v>205</v>
      </c>
      <c r="D30" s="723"/>
      <c r="E30" s="723"/>
      <c r="F30" s="733"/>
      <c r="G30" s="723"/>
      <c r="H30" s="733"/>
      <c r="I30" s="723">
        <v>449</v>
      </c>
      <c r="J30" s="733">
        <v>96</v>
      </c>
      <c r="K30" s="723">
        <v>97</v>
      </c>
      <c r="L30" s="733">
        <v>68</v>
      </c>
      <c r="M30" s="723">
        <v>59</v>
      </c>
      <c r="N30" s="733">
        <v>36</v>
      </c>
      <c r="O30" s="723">
        <v>91</v>
      </c>
      <c r="P30" s="734">
        <f t="shared" si="0"/>
        <v>896</v>
      </c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</row>
    <row r="31" spans="1:231" s="121" customFormat="1" ht="16.5" customHeight="1" thickBot="1">
      <c r="A31" s="162"/>
      <c r="B31" s="608" t="s">
        <v>5</v>
      </c>
      <c r="C31" s="609"/>
      <c r="D31" s="631">
        <f>D6+D7+D8+D9+D10+D11+D12+D13+D14+D15+D16+D17+D18+D19+D20+D22+D23+D24+D21+D25+D27+D26</f>
        <v>3128560</v>
      </c>
      <c r="E31" s="631">
        <f>E6+E7+E8+E9+E10+E11+E12+E13+E14+E15+E16+E17+E18+E19+E20+E22+E23+E24+E21+E25+E27+E26</f>
        <v>4799643</v>
      </c>
      <c r="F31" s="631">
        <f aca="true" t="shared" si="1" ref="F31:K31">F6+F7+F8+F9+F10+F11+F12+F13+F14+F15+F16+F17+F18+F19+F20+F22+F23+F24+F21+F25+F27+F26+F28</f>
        <v>7062363</v>
      </c>
      <c r="G31" s="631">
        <f t="shared" si="1"/>
        <v>6874818</v>
      </c>
      <c r="H31" s="631">
        <f t="shared" si="1"/>
        <v>4944493</v>
      </c>
      <c r="I31" s="631">
        <f t="shared" si="1"/>
        <v>6132587</v>
      </c>
      <c r="J31" s="631">
        <f t="shared" si="1"/>
        <v>5985672</v>
      </c>
      <c r="K31" s="631">
        <f t="shared" si="1"/>
        <v>6712590</v>
      </c>
      <c r="L31" s="631">
        <f>L6+L7+L8+L9+L10+L11+L12+L13+L14+L15+L16+L17+L18+L19+L20+L22+L23+L24+L21+L25+L27+L26+L28+L29+L30</f>
        <v>6178507</v>
      </c>
      <c r="M31" s="631">
        <f>M6+M7+M8+M9+M10+M11+M12+M13+M14+M15+M16+M17+M18+M19+M20+M22+M23+M24+M21+M25+M27+M26+M28+M29+M30</f>
        <v>7152594</v>
      </c>
      <c r="N31" s="631">
        <f>N6+N7+N8+N9+N10+N11+N12+N13+N14+N15+N16+N17+N18+N19+N20+N22+N23+N24+N21+N25+N27+N26+N28+N29+N30</f>
        <v>6488030</v>
      </c>
      <c r="O31" s="631">
        <f>O6+O7+O8+O9+O10+O11+O12+O13+O14+O15+O16+O17+O18+O19+O20+O22+O23+O24+O21+O25+O27+O26+O28+O29+O30</f>
        <v>5531982</v>
      </c>
      <c r="P31" s="631">
        <f>P6+P7+P8+P9+P10+P11+P12+P13+P14+P15+P16+P17+P18+P19+P20+P22+P23+P24+P21+P25+P27+P26+P28+P29+P30</f>
        <v>71012846</v>
      </c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6"/>
      <c r="DD31" s="166"/>
      <c r="DE31" s="166"/>
      <c r="DF31" s="166"/>
      <c r="DG31" s="166"/>
      <c r="DH31" s="166"/>
      <c r="DI31" s="166"/>
      <c r="DJ31" s="166"/>
      <c r="DK31" s="166"/>
      <c r="DL31" s="166"/>
      <c r="DM31" s="166"/>
      <c r="DN31" s="166"/>
      <c r="DO31" s="166"/>
      <c r="DP31" s="166"/>
      <c r="DQ31" s="166"/>
      <c r="DR31" s="166"/>
      <c r="DS31" s="166"/>
      <c r="DT31" s="166"/>
      <c r="DU31" s="166"/>
      <c r="DV31" s="166"/>
      <c r="DW31" s="166"/>
      <c r="DX31" s="166"/>
      <c r="DY31" s="166"/>
      <c r="DZ31" s="166"/>
      <c r="EA31" s="166"/>
      <c r="EB31" s="166"/>
      <c r="EC31" s="166"/>
      <c r="ED31" s="166"/>
      <c r="EE31" s="166"/>
      <c r="EF31" s="166"/>
      <c r="EG31" s="166"/>
      <c r="EH31" s="166"/>
      <c r="EI31" s="166"/>
      <c r="EJ31" s="166"/>
      <c r="EK31" s="166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6"/>
      <c r="FE31" s="166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6"/>
      <c r="FV31" s="166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6"/>
      <c r="GM31" s="166"/>
      <c r="GN31" s="166"/>
      <c r="GO31" s="166"/>
      <c r="GP31" s="166"/>
      <c r="GQ31" s="166"/>
      <c r="GR31" s="166"/>
      <c r="GS31" s="166"/>
      <c r="GT31" s="166"/>
      <c r="GU31" s="166"/>
      <c r="GV31" s="166"/>
      <c r="GW31" s="166"/>
      <c r="GX31" s="166"/>
      <c r="GY31" s="166"/>
      <c r="GZ31" s="166"/>
      <c r="HA31" s="166"/>
      <c r="HB31" s="166"/>
      <c r="HC31" s="166"/>
      <c r="HD31" s="166"/>
      <c r="HE31" s="166"/>
      <c r="HF31" s="166"/>
      <c r="HG31" s="166"/>
      <c r="HH31" s="166"/>
      <c r="HI31" s="166"/>
      <c r="HJ31" s="166"/>
      <c r="HK31" s="166"/>
      <c r="HL31" s="166"/>
      <c r="HM31" s="166"/>
      <c r="HN31" s="166"/>
      <c r="HO31" s="166"/>
      <c r="HP31" s="166"/>
      <c r="HQ31" s="166"/>
      <c r="HR31" s="166"/>
      <c r="HS31" s="166"/>
      <c r="HT31" s="166"/>
      <c r="HU31" s="166"/>
      <c r="HV31" s="166"/>
      <c r="HW31" s="166"/>
    </row>
    <row r="32" spans="1:16" s="121" customFormat="1" ht="16.5" customHeight="1">
      <c r="A32" s="131">
        <v>19</v>
      </c>
      <c r="B32" s="610" t="s">
        <v>64</v>
      </c>
      <c r="C32" s="596" t="s">
        <v>70</v>
      </c>
      <c r="D32" s="632">
        <v>5159</v>
      </c>
      <c r="E32" s="632">
        <v>1046</v>
      </c>
      <c r="F32" s="721"/>
      <c r="G32" s="715"/>
      <c r="H32" s="715"/>
      <c r="I32" s="715"/>
      <c r="J32" s="715"/>
      <c r="K32" s="715"/>
      <c r="L32" s="715"/>
      <c r="M32" s="715"/>
      <c r="N32" s="715"/>
      <c r="O32" s="715"/>
      <c r="P32" s="590">
        <f>SUM(D32+E32+F32+G32+H32+I32+J32+K32+L32+M32+N32+O32)</f>
        <v>6205</v>
      </c>
    </row>
    <row r="33" spans="1:16" s="121" customFormat="1" ht="15" customHeight="1" thickBot="1">
      <c r="A33" s="133">
        <v>20</v>
      </c>
      <c r="B33" s="611" t="s">
        <v>65</v>
      </c>
      <c r="C33" s="596" t="s">
        <v>70</v>
      </c>
      <c r="D33" s="633">
        <v>8918</v>
      </c>
      <c r="E33" s="633">
        <v>4123</v>
      </c>
      <c r="F33" s="721"/>
      <c r="G33" s="715"/>
      <c r="H33" s="715"/>
      <c r="I33" s="715"/>
      <c r="J33" s="715"/>
      <c r="K33" s="715"/>
      <c r="L33" s="715"/>
      <c r="M33" s="715"/>
      <c r="N33" s="715"/>
      <c r="O33" s="715"/>
      <c r="P33" s="590">
        <f>SUM(D33+E33+F33+G33+H33+I33+J33+K33+L33+M33+N33+O33)</f>
        <v>13041</v>
      </c>
    </row>
    <row r="34" spans="1:16" s="121" customFormat="1" ht="15.75" customHeight="1" thickBot="1">
      <c r="A34" s="175"/>
      <c r="B34" s="612" t="s">
        <v>198</v>
      </c>
      <c r="C34" s="612"/>
      <c r="D34" s="634">
        <f>D32+D33</f>
        <v>14077</v>
      </c>
      <c r="E34" s="634">
        <f aca="true" t="shared" si="2" ref="E34:P34">E32+E33</f>
        <v>5169</v>
      </c>
      <c r="F34" s="634">
        <f t="shared" si="2"/>
        <v>0</v>
      </c>
      <c r="G34" s="634">
        <f t="shared" si="2"/>
        <v>0</v>
      </c>
      <c r="H34" s="634">
        <f t="shared" si="2"/>
        <v>0</v>
      </c>
      <c r="I34" s="634">
        <f t="shared" si="2"/>
        <v>0</v>
      </c>
      <c r="J34" s="634">
        <f t="shared" si="2"/>
        <v>0</v>
      </c>
      <c r="K34" s="634">
        <f t="shared" si="2"/>
        <v>0</v>
      </c>
      <c r="L34" s="634">
        <f t="shared" si="2"/>
        <v>0</v>
      </c>
      <c r="M34" s="634">
        <f t="shared" si="2"/>
        <v>0</v>
      </c>
      <c r="N34" s="634">
        <f t="shared" si="2"/>
        <v>0</v>
      </c>
      <c r="O34" s="634">
        <f t="shared" si="2"/>
        <v>0</v>
      </c>
      <c r="P34" s="634">
        <f t="shared" si="2"/>
        <v>19246</v>
      </c>
    </row>
    <row r="35" spans="1:29" ht="56.25" customHeight="1">
      <c r="A35" s="705"/>
      <c r="B35" s="846" t="s">
        <v>184</v>
      </c>
      <c r="C35" s="844"/>
      <c r="D35" s="844"/>
      <c r="E35" s="844"/>
      <c r="F35" s="844"/>
      <c r="G35" s="845"/>
      <c r="H35" s="845"/>
      <c r="I35" s="845"/>
      <c r="J35" s="845"/>
      <c r="K35" s="698"/>
      <c r="L35" s="698"/>
      <c r="M35" s="698"/>
      <c r="N35" s="698"/>
      <c r="O35" s="701"/>
      <c r="P35" s="707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16" s="121" customFormat="1" ht="14.25" customHeight="1">
      <c r="A36" s="720">
        <v>21</v>
      </c>
      <c r="B36" s="714" t="s">
        <v>187</v>
      </c>
      <c r="C36" s="714" t="s">
        <v>72</v>
      </c>
      <c r="D36" s="721"/>
      <c r="E36" s="715">
        <v>522</v>
      </c>
      <c r="F36" s="721"/>
      <c r="G36" s="715"/>
      <c r="H36" s="715"/>
      <c r="I36" s="715"/>
      <c r="J36" s="715"/>
      <c r="K36" s="715">
        <v>19</v>
      </c>
      <c r="L36" s="715"/>
      <c r="M36" s="715"/>
      <c r="N36" s="715"/>
      <c r="O36" s="728">
        <v>1957</v>
      </c>
      <c r="P36" s="590">
        <f aca="true" t="shared" si="3" ref="P36:P41">SUM(D36+E36+F36+G36+H36+I36+J36+K36+L36+M36+N36+O36)</f>
        <v>2498</v>
      </c>
    </row>
    <row r="37" spans="1:16" s="121" customFormat="1" ht="15.75" customHeight="1" hidden="1">
      <c r="A37" s="720">
        <v>24</v>
      </c>
      <c r="B37" s="714" t="s">
        <v>66</v>
      </c>
      <c r="C37" s="714" t="s">
        <v>72</v>
      </c>
      <c r="D37" s="721"/>
      <c r="E37" s="715"/>
      <c r="F37" s="721"/>
      <c r="G37" s="715"/>
      <c r="H37" s="715"/>
      <c r="I37" s="715"/>
      <c r="J37" s="715"/>
      <c r="K37" s="722"/>
      <c r="L37" s="722"/>
      <c r="M37" s="722"/>
      <c r="N37" s="722"/>
      <c r="O37" s="729"/>
      <c r="P37" s="590">
        <f t="shared" si="3"/>
        <v>0</v>
      </c>
    </row>
    <row r="38" spans="1:16" s="121" customFormat="1" ht="18.75" customHeight="1" hidden="1">
      <c r="A38" s="720">
        <v>25</v>
      </c>
      <c r="B38" s="714" t="s">
        <v>41</v>
      </c>
      <c r="C38" s="714" t="s">
        <v>72</v>
      </c>
      <c r="D38" s="721"/>
      <c r="E38" s="715"/>
      <c r="F38" s="721"/>
      <c r="G38" s="715"/>
      <c r="H38" s="715"/>
      <c r="I38" s="715"/>
      <c r="J38" s="715"/>
      <c r="K38" s="722"/>
      <c r="L38" s="722"/>
      <c r="M38" s="722"/>
      <c r="N38" s="722"/>
      <c r="O38" s="729"/>
      <c r="P38" s="590">
        <f t="shared" si="3"/>
        <v>0</v>
      </c>
    </row>
    <row r="39" spans="1:16" s="121" customFormat="1" ht="18.75" customHeight="1" thickBot="1">
      <c r="A39" s="720">
        <v>22</v>
      </c>
      <c r="B39" s="714" t="s">
        <v>188</v>
      </c>
      <c r="C39" s="714" t="s">
        <v>72</v>
      </c>
      <c r="D39" s="721">
        <v>9534</v>
      </c>
      <c r="E39" s="715">
        <v>9114</v>
      </c>
      <c r="F39" s="721">
        <v>8568</v>
      </c>
      <c r="G39" s="715">
        <v>0</v>
      </c>
      <c r="H39" s="715">
        <v>8610</v>
      </c>
      <c r="I39" s="715">
        <v>6300</v>
      </c>
      <c r="J39" s="715">
        <v>8988</v>
      </c>
      <c r="K39" s="715">
        <v>5208</v>
      </c>
      <c r="L39" s="715">
        <v>9828</v>
      </c>
      <c r="M39" s="715">
        <v>10360</v>
      </c>
      <c r="N39" s="715">
        <v>8800</v>
      </c>
      <c r="O39" s="728">
        <v>8440</v>
      </c>
      <c r="P39" s="590">
        <f t="shared" si="3"/>
        <v>93750</v>
      </c>
    </row>
    <row r="40" spans="1:16" s="121" customFormat="1" ht="16.5" customHeight="1" hidden="1">
      <c r="A40" s="162">
        <v>27</v>
      </c>
      <c r="B40" s="709" t="s">
        <v>43</v>
      </c>
      <c r="C40" s="716" t="s">
        <v>72</v>
      </c>
      <c r="D40" s="712"/>
      <c r="E40" s="717"/>
      <c r="F40" s="718"/>
      <c r="G40" s="706"/>
      <c r="H40" s="696"/>
      <c r="I40" s="706"/>
      <c r="J40" s="696"/>
      <c r="K40" s="719"/>
      <c r="L40" s="719"/>
      <c r="M40" s="719"/>
      <c r="N40" s="719"/>
      <c r="O40" s="730"/>
      <c r="P40" s="590">
        <f t="shared" si="3"/>
        <v>0</v>
      </c>
    </row>
    <row r="41" spans="1:16" s="121" customFormat="1" ht="16.5" customHeight="1" thickBot="1">
      <c r="A41" s="185">
        <v>23</v>
      </c>
      <c r="B41" s="596" t="s">
        <v>190</v>
      </c>
      <c r="C41" s="714" t="s">
        <v>72</v>
      </c>
      <c r="D41" s="135"/>
      <c r="E41" s="134"/>
      <c r="F41" s="136"/>
      <c r="G41" s="638"/>
      <c r="H41" s="645"/>
      <c r="I41" s="638"/>
      <c r="J41" s="645"/>
      <c r="K41" s="638"/>
      <c r="L41" s="638"/>
      <c r="M41" s="645"/>
      <c r="N41" s="638"/>
      <c r="O41" s="645"/>
      <c r="P41" s="590">
        <f t="shared" si="3"/>
        <v>0</v>
      </c>
    </row>
    <row r="42" spans="1:17" ht="12.75" customHeight="1" thickBot="1">
      <c r="A42" s="88"/>
      <c r="B42" s="620" t="s">
        <v>5</v>
      </c>
      <c r="C42" s="713"/>
      <c r="D42" s="665">
        <f aca="true" t="shared" si="4" ref="D42:L42">D36+D37+D38+D40+D41+D39</f>
        <v>9534</v>
      </c>
      <c r="E42" s="665">
        <f t="shared" si="4"/>
        <v>9636</v>
      </c>
      <c r="F42" s="665">
        <f t="shared" si="4"/>
        <v>8568</v>
      </c>
      <c r="G42" s="665">
        <f t="shared" si="4"/>
        <v>0</v>
      </c>
      <c r="H42" s="665">
        <f t="shared" si="4"/>
        <v>8610</v>
      </c>
      <c r="I42" s="665">
        <f t="shared" si="4"/>
        <v>6300</v>
      </c>
      <c r="J42" s="665">
        <f t="shared" si="4"/>
        <v>8988</v>
      </c>
      <c r="K42" s="665">
        <f t="shared" si="4"/>
        <v>5227</v>
      </c>
      <c r="L42" s="665">
        <f t="shared" si="4"/>
        <v>9828</v>
      </c>
      <c r="M42" s="665">
        <f>M36+M37+M38+M40+M41+M39</f>
        <v>10360</v>
      </c>
      <c r="N42" s="665">
        <f>N36+N37+N38+N40+N41+N39</f>
        <v>8800</v>
      </c>
      <c r="O42" s="665">
        <f>O36+O37+O38+O40+O41+O39</f>
        <v>10397</v>
      </c>
      <c r="P42" s="665">
        <f>P36+P37+P38+P40+P41+P39</f>
        <v>96248</v>
      </c>
      <c r="Q42" s="572"/>
    </row>
    <row r="43" spans="1:16" ht="15" customHeight="1" thickBot="1">
      <c r="A43" s="833"/>
      <c r="B43" s="837" t="s">
        <v>50</v>
      </c>
      <c r="C43" s="621"/>
      <c r="D43" s="674">
        <f>D42+D31+D34</f>
        <v>3152171</v>
      </c>
      <c r="E43" s="675">
        <f aca="true" t="shared" si="5" ref="E43:L43">E42+E31+E34</f>
        <v>4814448</v>
      </c>
      <c r="F43" s="675">
        <f t="shared" si="5"/>
        <v>7070931</v>
      </c>
      <c r="G43" s="676">
        <f t="shared" si="5"/>
        <v>6874818</v>
      </c>
      <c r="H43" s="674">
        <f t="shared" si="5"/>
        <v>4953103</v>
      </c>
      <c r="I43" s="675">
        <f t="shared" si="5"/>
        <v>6138887</v>
      </c>
      <c r="J43" s="675">
        <f t="shared" si="5"/>
        <v>5994660</v>
      </c>
      <c r="K43" s="675">
        <f t="shared" si="5"/>
        <v>6717817</v>
      </c>
      <c r="L43" s="676">
        <f t="shared" si="5"/>
        <v>6188335</v>
      </c>
      <c r="M43" s="674">
        <f>M42+M31+M34</f>
        <v>7162954</v>
      </c>
      <c r="N43" s="674">
        <f>N42+N31+N34</f>
        <v>6496830</v>
      </c>
      <c r="O43" s="674">
        <f>O42+O31+O34</f>
        <v>5542379</v>
      </c>
      <c r="P43" s="674">
        <f>P42+P31+P34</f>
        <v>71128340</v>
      </c>
    </row>
    <row r="44" spans="1:25" ht="6" customHeight="1">
      <c r="A44" s="831"/>
      <c r="B44" s="838"/>
      <c r="C44" s="622"/>
      <c r="D44" s="623">
        <f>D43-D24-D22-D20</f>
        <v>1481010</v>
      </c>
      <c r="E44" s="623">
        <f>E43-E24-E22-E20</f>
        <v>2112062</v>
      </c>
      <c r="F44" s="623">
        <f>F43-F24-F22-F20</f>
        <v>4162149</v>
      </c>
      <c r="G44" s="437"/>
      <c r="H44" s="437"/>
      <c r="I44" s="437"/>
      <c r="J44" s="437"/>
      <c r="K44" s="437"/>
      <c r="L44" s="437"/>
      <c r="M44" s="437"/>
      <c r="N44" s="437"/>
      <c r="O44" s="437"/>
      <c r="P44" s="732"/>
      <c r="Q44" s="94"/>
      <c r="R44" s="32"/>
      <c r="S44" s="32"/>
      <c r="T44" s="32"/>
      <c r="U44" s="32"/>
      <c r="V44" s="32"/>
      <c r="W44" s="32"/>
      <c r="X44" s="32"/>
      <c r="Y44" s="32"/>
    </row>
    <row r="45" spans="1:25" ht="3" customHeight="1" thickBot="1">
      <c r="A45" s="831"/>
      <c r="B45" s="838"/>
      <c r="C45" s="624"/>
      <c r="D45" s="623">
        <f>D44+3680</f>
        <v>1484690</v>
      </c>
      <c r="E45" s="623">
        <f>E44+4000</f>
        <v>2116062</v>
      </c>
      <c r="F45" s="623">
        <f>F44+1120</f>
        <v>4163269</v>
      </c>
      <c r="G45" s="625"/>
      <c r="H45" s="625"/>
      <c r="I45" s="625"/>
      <c r="J45" s="625"/>
      <c r="K45" s="625"/>
      <c r="L45" s="625"/>
      <c r="M45" s="625"/>
      <c r="N45" s="625"/>
      <c r="O45" s="625"/>
      <c r="P45" s="673"/>
      <c r="Q45" s="32"/>
      <c r="R45" s="32"/>
      <c r="S45" s="32"/>
      <c r="T45" s="32"/>
      <c r="U45" s="32"/>
      <c r="V45" s="32"/>
      <c r="W45" s="32"/>
      <c r="X45" s="32"/>
      <c r="Y45" s="32"/>
    </row>
    <row r="46" spans="1:25" ht="13.5" thickBot="1">
      <c r="A46" s="831"/>
      <c r="B46" s="838"/>
      <c r="C46" s="679" t="s">
        <v>71</v>
      </c>
      <c r="D46" s="680">
        <f>D10+D20+D21+D24+D27</f>
        <v>2221451</v>
      </c>
      <c r="E46" s="680">
        <f>E10+E20+E21+E24+E27</f>
        <v>3384059</v>
      </c>
      <c r="F46" s="680">
        <f>F10+F20+F21+F24+F27+F28</f>
        <v>5562214</v>
      </c>
      <c r="G46" s="680">
        <f aca="true" t="shared" si="6" ref="G46:O46">G10+G20+G21+G24+G27+G28</f>
        <v>5371233</v>
      </c>
      <c r="H46" s="680">
        <f t="shared" si="6"/>
        <v>3830646</v>
      </c>
      <c r="I46" s="680">
        <f t="shared" si="6"/>
        <v>4696623</v>
      </c>
      <c r="J46" s="680">
        <f t="shared" si="6"/>
        <v>4751036</v>
      </c>
      <c r="K46" s="680">
        <f t="shared" si="6"/>
        <v>5465891</v>
      </c>
      <c r="L46" s="680">
        <f>L10+L20+L21+L24+L27+L28</f>
        <v>4925420</v>
      </c>
      <c r="M46" s="680">
        <f t="shared" si="6"/>
        <v>5758677</v>
      </c>
      <c r="N46" s="680">
        <f t="shared" si="6"/>
        <v>5179303</v>
      </c>
      <c r="O46" s="680">
        <f t="shared" si="6"/>
        <v>4158139</v>
      </c>
      <c r="P46" s="681">
        <f>P10+P20+P21+P24+P27+P28</f>
        <v>55304692</v>
      </c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3.5" thickBot="1">
      <c r="A47" s="831"/>
      <c r="B47" s="838"/>
      <c r="C47" s="679" t="s">
        <v>70</v>
      </c>
      <c r="D47" s="685">
        <f aca="true" t="shared" si="7" ref="D47:K47">SUM(D32:D33,D23,D18:D19,D16:D17,D13,D11,D6:D9)</f>
        <v>718086</v>
      </c>
      <c r="E47" s="686">
        <f t="shared" si="7"/>
        <v>1209133</v>
      </c>
      <c r="F47" s="687">
        <f t="shared" si="7"/>
        <v>1291529</v>
      </c>
      <c r="G47" s="687">
        <f t="shared" si="7"/>
        <v>1275648</v>
      </c>
      <c r="H47" s="687">
        <f t="shared" si="7"/>
        <v>912967</v>
      </c>
      <c r="I47" s="687">
        <f t="shared" si="7"/>
        <v>1193804</v>
      </c>
      <c r="J47" s="687">
        <f t="shared" si="7"/>
        <v>936406</v>
      </c>
      <c r="K47" s="687">
        <f t="shared" si="7"/>
        <v>989299</v>
      </c>
      <c r="L47" s="687">
        <f>SUM(L32:L33,L23,L18:L19,L16:L17,L13,L11,L6:L9)+L29+L30</f>
        <v>1039487</v>
      </c>
      <c r="M47" s="687">
        <f>SUM(M32:M33,M23,M18:M19,M16:M17,M13,M11,M6:M9)+M29+M30</f>
        <v>1178397</v>
      </c>
      <c r="N47" s="687">
        <f>SUM(N32:N33,N23,N18:N19,N16:N17,N13,N11,N6:N9)+N29+N30</f>
        <v>1098727</v>
      </c>
      <c r="O47" s="687">
        <f>SUM(O32:O33,O23,O18:O19,O16:O17,O13,O11,O6:O9)+O29+O30</f>
        <v>1136159</v>
      </c>
      <c r="P47" s="687">
        <f>SUM(P32:P33,P23,P18:P19,P16:P17,P13,P11,P6:P9)+P29+P30</f>
        <v>13000649</v>
      </c>
      <c r="Q47" s="32"/>
      <c r="R47" s="32"/>
      <c r="S47" s="32"/>
      <c r="T47" s="32"/>
      <c r="U47" s="32"/>
      <c r="V47" s="32"/>
      <c r="W47" s="32"/>
      <c r="X47" s="32"/>
      <c r="Y47" s="32"/>
    </row>
    <row r="48" spans="1:25" ht="13.5" thickBot="1">
      <c r="A48" s="832"/>
      <c r="B48" s="839"/>
      <c r="C48" s="689" t="s">
        <v>72</v>
      </c>
      <c r="D48" s="680">
        <f>D43-D46-D47</f>
        <v>212634</v>
      </c>
      <c r="E48" s="681">
        <f>E43-E46-E47</f>
        <v>221256</v>
      </c>
      <c r="F48" s="682">
        <f>F43-F46-F47</f>
        <v>217188</v>
      </c>
      <c r="G48" s="682">
        <f aca="true" t="shared" si="8" ref="G48:L48">G43-G46-G47</f>
        <v>227937</v>
      </c>
      <c r="H48" s="682">
        <f t="shared" si="8"/>
        <v>209490</v>
      </c>
      <c r="I48" s="682">
        <f t="shared" si="8"/>
        <v>248460</v>
      </c>
      <c r="J48" s="682">
        <f>J43-J46-J47</f>
        <v>307218</v>
      </c>
      <c r="K48" s="682">
        <f t="shared" si="8"/>
        <v>262627</v>
      </c>
      <c r="L48" s="682">
        <f t="shared" si="8"/>
        <v>223428</v>
      </c>
      <c r="M48" s="682">
        <f>M43-M46-M47</f>
        <v>225880</v>
      </c>
      <c r="N48" s="682">
        <f>N43-N46-N47</f>
        <v>218800</v>
      </c>
      <c r="O48" s="683">
        <f>O43-O46-O47</f>
        <v>248081</v>
      </c>
      <c r="P48" s="681">
        <f>P43-P46-P47</f>
        <v>2822999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2.75">
      <c r="A49" s="90"/>
      <c r="B49" s="90"/>
      <c r="C49" s="90"/>
      <c r="D49" s="95"/>
      <c r="E49" s="90"/>
      <c r="F49" s="90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0"/>
      <c r="B50" s="90"/>
      <c r="C50" s="90"/>
      <c r="D50" s="90"/>
      <c r="E50" s="90"/>
      <c r="F50" s="90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0"/>
      <c r="B51" s="90"/>
      <c r="C51" s="90"/>
      <c r="D51" s="90"/>
      <c r="E51" s="90"/>
      <c r="F51" s="90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25" ht="12.75">
      <c r="A52" s="90"/>
      <c r="B52" s="90"/>
      <c r="C52" s="90"/>
      <c r="D52" s="90"/>
      <c r="E52" s="90"/>
      <c r="F52" s="90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2.75">
      <c r="A53" s="90"/>
      <c r="B53" s="90"/>
      <c r="C53" s="90"/>
      <c r="D53" s="90"/>
      <c r="E53" s="90"/>
      <c r="F53" s="90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12.75">
      <c r="A54" s="90"/>
      <c r="B54" s="90"/>
      <c r="C54" s="90"/>
      <c r="D54" s="90"/>
      <c r="E54" s="90"/>
      <c r="F54" s="90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ht="12.75">
      <c r="A55" s="90"/>
      <c r="B55" s="90"/>
      <c r="C55" s="90"/>
      <c r="D55" s="90"/>
      <c r="E55" s="90"/>
      <c r="F55" s="90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ht="12.75">
      <c r="A56" s="90"/>
      <c r="B56" s="90"/>
      <c r="C56" s="90"/>
      <c r="D56" s="90"/>
      <c r="E56" s="90"/>
      <c r="F56" s="90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ht="12.75">
      <c r="A57" s="90"/>
      <c r="B57" s="90"/>
      <c r="C57" s="90"/>
      <c r="D57" s="90"/>
      <c r="E57" s="90"/>
      <c r="F57" s="90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12.75">
      <c r="A58" s="90"/>
      <c r="B58" s="90"/>
      <c r="C58" s="90"/>
      <c r="D58" s="90"/>
      <c r="E58" s="90"/>
      <c r="F58" s="90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12.75">
      <c r="A59" s="90"/>
      <c r="B59" s="90"/>
      <c r="C59" s="90"/>
      <c r="D59" s="90"/>
      <c r="E59" s="90"/>
      <c r="F59" s="90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12.75">
      <c r="A60" s="90"/>
      <c r="B60" s="90"/>
      <c r="C60" s="90"/>
      <c r="D60" s="90"/>
      <c r="E60" s="90"/>
      <c r="F60" s="90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6" ht="12.75">
      <c r="A61" s="97"/>
      <c r="B61" s="97"/>
      <c r="C61" s="97"/>
      <c r="D61" s="97"/>
      <c r="E61" s="97"/>
      <c r="F61" s="97"/>
    </row>
    <row r="62" spans="1:6" ht="12.75">
      <c r="A62" s="97"/>
      <c r="B62" s="97"/>
      <c r="C62" s="97"/>
      <c r="D62" s="97"/>
      <c r="E62" s="97"/>
      <c r="F62" s="97"/>
    </row>
    <row r="63" spans="1:6" ht="12.75">
      <c r="A63" s="97"/>
      <c r="B63" s="97"/>
      <c r="C63" s="97"/>
      <c r="D63" s="97"/>
      <c r="E63" s="97"/>
      <c r="F63" s="97"/>
    </row>
    <row r="64" spans="1:6" ht="12.75">
      <c r="A64" s="97"/>
      <c r="B64" s="97"/>
      <c r="C64" s="97"/>
      <c r="D64" s="97"/>
      <c r="E64" s="97"/>
      <c r="F64" s="97"/>
    </row>
    <row r="65" spans="1:6" ht="12.75">
      <c r="A65" s="97"/>
      <c r="B65" s="97"/>
      <c r="C65" s="97"/>
      <c r="D65" s="97"/>
      <c r="E65" s="97"/>
      <c r="F65" s="97"/>
    </row>
    <row r="66" spans="1:6" ht="12.75">
      <c r="A66" s="97"/>
      <c r="B66" s="97"/>
      <c r="C66" s="97"/>
      <c r="D66" s="97"/>
      <c r="E66" s="97"/>
      <c r="F66" s="97"/>
    </row>
    <row r="67" spans="1:6" ht="12.75">
      <c r="A67" s="97"/>
      <c r="B67" s="97"/>
      <c r="C67" s="97"/>
      <c r="D67" s="97"/>
      <c r="E67" s="97"/>
      <c r="F67" s="97"/>
    </row>
    <row r="68" spans="1:6" ht="12.75">
      <c r="A68" s="97"/>
      <c r="B68" s="97"/>
      <c r="C68" s="97"/>
      <c r="D68" s="97"/>
      <c r="E68" s="97"/>
      <c r="F68" s="97"/>
    </row>
    <row r="69" spans="1:6" ht="12.75">
      <c r="A69" s="97"/>
      <c r="B69" s="97"/>
      <c r="C69" s="97"/>
      <c r="D69" s="97"/>
      <c r="E69" s="97"/>
      <c r="F69" s="97"/>
    </row>
    <row r="70" spans="1:6" ht="12.75">
      <c r="A70" s="97"/>
      <c r="B70" s="97"/>
      <c r="C70" s="97"/>
      <c r="D70" s="97"/>
      <c r="E70" s="97"/>
      <c r="F70" s="97"/>
    </row>
    <row r="71" spans="1:6" ht="12.75">
      <c r="A71" s="97"/>
      <c r="B71" s="97"/>
      <c r="C71" s="97"/>
      <c r="D71" s="97"/>
      <c r="E71" s="97"/>
      <c r="F71" s="97"/>
    </row>
    <row r="72" spans="1:6" ht="12.75">
      <c r="A72" s="97"/>
      <c r="B72" s="97"/>
      <c r="C72" s="97"/>
      <c r="D72" s="97"/>
      <c r="E72" s="97"/>
      <c r="F72" s="97"/>
    </row>
    <row r="73" spans="1:6" ht="12.75">
      <c r="A73" s="97"/>
      <c r="B73" s="97"/>
      <c r="C73" s="97"/>
      <c r="D73" s="97"/>
      <c r="E73" s="97"/>
      <c r="F73" s="97"/>
    </row>
    <row r="74" spans="1:6" ht="12.75">
      <c r="A74" s="97"/>
      <c r="B74" s="97"/>
      <c r="C74" s="97"/>
      <c r="D74" s="97"/>
      <c r="E74" s="97"/>
      <c r="F74" s="97"/>
    </row>
  </sheetData>
  <sheetProtection/>
  <mergeCells count="13">
    <mergeCell ref="A43:A48"/>
    <mergeCell ref="B43:B48"/>
    <mergeCell ref="B5:F5"/>
    <mergeCell ref="A21:A22"/>
    <mergeCell ref="B21:B22"/>
    <mergeCell ref="A24:A25"/>
    <mergeCell ref="B24:B25"/>
    <mergeCell ref="A1:F1"/>
    <mergeCell ref="A2:F2"/>
    <mergeCell ref="A3:A4"/>
    <mergeCell ref="B3:B4"/>
    <mergeCell ref="C3:C4"/>
    <mergeCell ref="B35:J35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"ЗМЗ" ПГЭ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Бюро УНЭЭ</dc:creator>
  <cp:keywords/>
  <dc:description/>
  <cp:lastModifiedBy>Коростелева Ирина Владимировна</cp:lastModifiedBy>
  <cp:lastPrinted>2015-01-09T11:25:11Z</cp:lastPrinted>
  <dcterms:created xsi:type="dcterms:W3CDTF">2001-12-08T05:27:42Z</dcterms:created>
  <dcterms:modified xsi:type="dcterms:W3CDTF">2015-01-09T11:25:23Z</dcterms:modified>
  <cp:category/>
  <cp:version/>
  <cp:contentType/>
  <cp:contentStatus/>
</cp:coreProperties>
</file>