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1" activeTab="1"/>
  </bookViews>
  <sheets>
    <sheet name="Свод 2016" sheetId="1" state="hidden" r:id="rId1"/>
    <sheet name="ТоиР 2020" sheetId="2" r:id="rId2"/>
    <sheet name="исключ." sheetId="3" r:id="rId3"/>
    <sheet name="Численность15" sheetId="4" state="hidden" r:id="rId4"/>
  </sheets>
  <definedNames>
    <definedName name="_xlnm.Print_Titles" localSheetId="1">'ТоиР 2020'!$1:$2</definedName>
    <definedName name="_xlnm.Print_Area" localSheetId="0">'Свод 2016'!$A$1:$O$153</definedName>
    <definedName name="_xlnm.Print_Area" localSheetId="1">'ТоиР 2020'!$A$1:$K$308</definedName>
  </definedNames>
  <calcPr fullCalcOnLoad="1"/>
</workbook>
</file>

<file path=xl/sharedStrings.xml><?xml version="1.0" encoding="utf-8"?>
<sst xmlns="http://schemas.openxmlformats.org/spreadsheetml/2006/main" count="1612" uniqueCount="641">
  <si>
    <t>ГПП-1яч.3 - РП-2яч.16</t>
  </si>
  <si>
    <t>ААШВу(3х120)</t>
  </si>
  <si>
    <t>Выключатели нагрузки</t>
  </si>
  <si>
    <t>ВН  ТП-74</t>
  </si>
  <si>
    <t>ВН  ТП-75</t>
  </si>
  <si>
    <r>
      <t xml:space="preserve">ВН  ТП-76 </t>
    </r>
    <r>
      <rPr>
        <sz val="9"/>
        <rFont val="Times New Roman"/>
        <family val="1"/>
      </rPr>
      <t>т-1</t>
    </r>
  </si>
  <si>
    <r>
      <t xml:space="preserve">ВН  ТП-76 </t>
    </r>
    <r>
      <rPr>
        <sz val="9"/>
        <rFont val="Times New Roman"/>
        <family val="1"/>
      </rPr>
      <t>т-2</t>
    </r>
  </si>
  <si>
    <r>
      <t xml:space="preserve">ВН  ТП-77 </t>
    </r>
    <r>
      <rPr>
        <sz val="9"/>
        <rFont val="Times New Roman"/>
        <family val="1"/>
      </rPr>
      <t>т-1</t>
    </r>
  </si>
  <si>
    <r>
      <t xml:space="preserve">ВН  ТП-77 </t>
    </r>
    <r>
      <rPr>
        <sz val="9"/>
        <rFont val="Times New Roman"/>
        <family val="1"/>
      </rPr>
      <t>т-2</t>
    </r>
  </si>
  <si>
    <r>
      <t xml:space="preserve">ВН  ТП-90 </t>
    </r>
    <r>
      <rPr>
        <sz val="9"/>
        <rFont val="Times New Roman"/>
        <family val="1"/>
      </rPr>
      <t>т-1</t>
    </r>
  </si>
  <si>
    <r>
      <t xml:space="preserve">ВН  ТП-91 </t>
    </r>
    <r>
      <rPr>
        <sz val="9"/>
        <rFont val="Times New Roman"/>
        <family val="1"/>
      </rPr>
      <t>т-1</t>
    </r>
  </si>
  <si>
    <r>
      <t xml:space="preserve">ВН  ТП-92 </t>
    </r>
    <r>
      <rPr>
        <sz val="9"/>
        <rFont val="Times New Roman"/>
        <family val="1"/>
      </rPr>
      <t>т-1</t>
    </r>
  </si>
  <si>
    <t>ВН  ТП-103</t>
  </si>
  <si>
    <t>ВН  ТП-73</t>
  </si>
  <si>
    <t>20 м</t>
  </si>
  <si>
    <t>Кабельные линии 0,4кВ</t>
  </si>
  <si>
    <t>450м</t>
  </si>
  <si>
    <t>Каб.ЛЭП от ТП-102 до</t>
  </si>
  <si>
    <t>корпуса гл.метролога</t>
  </si>
  <si>
    <r>
      <t>ААБл(3х95) от ТП-102</t>
    </r>
    <r>
      <rPr>
        <sz val="8"/>
        <rFont val="Times New Roman"/>
        <family val="1"/>
      </rPr>
      <t>1</t>
    </r>
  </si>
  <si>
    <r>
      <t>АВВГ(4х95) от ТП-102</t>
    </r>
    <r>
      <rPr>
        <sz val="8"/>
        <rFont val="Times New Roman"/>
        <family val="1"/>
      </rPr>
      <t>1</t>
    </r>
  </si>
  <si>
    <t>Автомат А-3144</t>
  </si>
  <si>
    <t>400А</t>
  </si>
  <si>
    <t>Воздушные линии охранного и наружного освещения</t>
  </si>
  <si>
    <t>Линия №1 на ж/б опорах</t>
  </si>
  <si>
    <t>17 шт</t>
  </si>
  <si>
    <t>кабель АВВГ 4х25</t>
  </si>
  <si>
    <t>провод А (1х25)</t>
  </si>
  <si>
    <t>2,4 км</t>
  </si>
  <si>
    <t>кабель ВВГ 3х1,5</t>
  </si>
  <si>
    <t>34 м</t>
  </si>
  <si>
    <t>светильник ЖКУ-100</t>
  </si>
  <si>
    <t>лампа SON 100Вт</t>
  </si>
  <si>
    <t>заземление</t>
  </si>
  <si>
    <t>318,5 м</t>
  </si>
  <si>
    <t>кабель АВВГ 4х50</t>
  </si>
  <si>
    <t>Силовые трансформаторы 6 корпуса 
"Леони Заволжье"</t>
  </si>
  <si>
    <t>убрать из ППР</t>
  </si>
  <si>
    <t xml:space="preserve">ТП-112/1  </t>
  </si>
  <si>
    <t>77481</t>
  </si>
  <si>
    <t xml:space="preserve">ТП-112/2  </t>
  </si>
  <si>
    <t>ТП-113/1</t>
  </si>
  <si>
    <t xml:space="preserve">ТП-113/2   </t>
  </si>
  <si>
    <t xml:space="preserve">ТП-114/1    </t>
  </si>
  <si>
    <t>158037</t>
  </si>
  <si>
    <t xml:space="preserve">ТП-114/2   </t>
  </si>
  <si>
    <t>Силовые трансформаторы "Феррум"</t>
  </si>
  <si>
    <t xml:space="preserve">ТП-98             </t>
  </si>
  <si>
    <t>42317</t>
  </si>
  <si>
    <t xml:space="preserve">ТП-99             </t>
  </si>
  <si>
    <t>42316</t>
  </si>
  <si>
    <t xml:space="preserve">ТП-102/1        </t>
  </si>
  <si>
    <t>42762</t>
  </si>
  <si>
    <t xml:space="preserve">ТП-102/2        </t>
  </si>
  <si>
    <t>Силовые трансформаторы ООО Литейный завод "РосАЛит"</t>
  </si>
  <si>
    <t xml:space="preserve">ТП-1                  </t>
  </si>
  <si>
    <t>1665</t>
  </si>
  <si>
    <t xml:space="preserve">ТП-2                  </t>
  </si>
  <si>
    <t>5001</t>
  </si>
  <si>
    <t xml:space="preserve">ТП-3                  </t>
  </si>
  <si>
    <t>2384</t>
  </si>
  <si>
    <t xml:space="preserve">ТП-3 "А"            </t>
  </si>
  <si>
    <t>10822</t>
  </si>
  <si>
    <t xml:space="preserve">ТП-4                  </t>
  </si>
  <si>
    <t>3467</t>
  </si>
  <si>
    <t xml:space="preserve">ТП-7                  </t>
  </si>
  <si>
    <t>3230</t>
  </si>
  <si>
    <t xml:space="preserve">ТП-8                  </t>
  </si>
  <si>
    <t>3839</t>
  </si>
  <si>
    <t xml:space="preserve">ТП-9                 </t>
  </si>
  <si>
    <t>3046</t>
  </si>
  <si>
    <t xml:space="preserve">ТП-10                </t>
  </si>
  <si>
    <t>4565</t>
  </si>
  <si>
    <t xml:space="preserve">ТП-15                </t>
  </si>
  <si>
    <t>10650</t>
  </si>
  <si>
    <t xml:space="preserve">ТП-12                 </t>
  </si>
  <si>
    <t>3466</t>
  </si>
  <si>
    <t xml:space="preserve">ТП-13                 </t>
  </si>
  <si>
    <t>1953</t>
  </si>
  <si>
    <t xml:space="preserve">ТП-14               </t>
  </si>
  <si>
    <t>10651</t>
  </si>
  <si>
    <t xml:space="preserve">ТП-11                </t>
  </si>
  <si>
    <t>10267/63</t>
  </si>
  <si>
    <t>2726</t>
  </si>
  <si>
    <t xml:space="preserve">ТП-40/1             </t>
  </si>
  <si>
    <t>6153</t>
  </si>
  <si>
    <t xml:space="preserve">ТП-40/2             </t>
  </si>
  <si>
    <t xml:space="preserve">ТП-41/1             </t>
  </si>
  <si>
    <t>4891</t>
  </si>
  <si>
    <t xml:space="preserve">ТП-41/2             </t>
  </si>
  <si>
    <t xml:space="preserve">ТП-42                </t>
  </si>
  <si>
    <t>6231</t>
  </si>
  <si>
    <t xml:space="preserve">ТП-43                </t>
  </si>
  <si>
    <t>5541</t>
  </si>
  <si>
    <t xml:space="preserve">ТП-44/1             </t>
  </si>
  <si>
    <t>6227</t>
  </si>
  <si>
    <t xml:space="preserve">ТП-44/2             </t>
  </si>
  <si>
    <t xml:space="preserve">ТП-45/1             </t>
  </si>
  <si>
    <t>6228</t>
  </si>
  <si>
    <t xml:space="preserve">ТП-45/2             </t>
  </si>
  <si>
    <t xml:space="preserve">ТП-47/1             </t>
  </si>
  <si>
    <t>6229</t>
  </si>
  <si>
    <t xml:space="preserve">ТП-47/2             </t>
  </si>
  <si>
    <t xml:space="preserve">ТП-48/1             </t>
  </si>
  <si>
    <t>5329</t>
  </si>
  <si>
    <t xml:space="preserve">ТП-48/2             </t>
  </si>
  <si>
    <t xml:space="preserve">ТП-49/1             </t>
  </si>
  <si>
    <t>5328</t>
  </si>
  <si>
    <t xml:space="preserve">ТП-49/2             </t>
  </si>
  <si>
    <t xml:space="preserve">ТП-79                </t>
  </si>
  <si>
    <t>1952</t>
  </si>
  <si>
    <t xml:space="preserve">ТП-85                </t>
  </si>
  <si>
    <t>38917</t>
  </si>
  <si>
    <t>38916</t>
  </si>
  <si>
    <t>Печные трансформаторы Лит.-2</t>
  </si>
  <si>
    <t>Т-1           1350</t>
  </si>
  <si>
    <t>5269</t>
  </si>
  <si>
    <t>Т-2           1350</t>
  </si>
  <si>
    <t>5268</t>
  </si>
  <si>
    <t>Т-3           1350</t>
  </si>
  <si>
    <t>5540</t>
  </si>
  <si>
    <t>Т-4           1350</t>
  </si>
  <si>
    <t>6618</t>
  </si>
  <si>
    <t>Т-5           1350</t>
  </si>
  <si>
    <t>6617</t>
  </si>
  <si>
    <t>Т-6           1350</t>
  </si>
  <si>
    <t>6831</t>
  </si>
  <si>
    <t>Т-7           1350</t>
  </si>
  <si>
    <t>6832</t>
  </si>
  <si>
    <t>Т-8           1350</t>
  </si>
  <si>
    <t>7647</t>
  </si>
  <si>
    <t>Т-9           1350</t>
  </si>
  <si>
    <t>7648</t>
  </si>
  <si>
    <t>Т-10         1350</t>
  </si>
  <si>
    <t>7649</t>
  </si>
  <si>
    <t>Т-12         1350</t>
  </si>
  <si>
    <t>7651</t>
  </si>
  <si>
    <t>Т-13         1350</t>
  </si>
  <si>
    <t>8271</t>
  </si>
  <si>
    <t>Т-17         1350</t>
  </si>
  <si>
    <t>38823</t>
  </si>
  <si>
    <t>Т-16         1350</t>
  </si>
  <si>
    <t>39994</t>
  </si>
  <si>
    <t>Печные трансформаторы Лит.-1</t>
  </si>
  <si>
    <t>Т-22               630</t>
  </si>
  <si>
    <t>0936</t>
  </si>
  <si>
    <t>Т-23               630</t>
  </si>
  <si>
    <t>33925</t>
  </si>
  <si>
    <t>Т-24               630</t>
  </si>
  <si>
    <t>28521</t>
  </si>
  <si>
    <t>Т-25               630</t>
  </si>
  <si>
    <t>28520</t>
  </si>
  <si>
    <t>Выключатели нагрузки ООО Литейный завод "РосАЛит"</t>
  </si>
  <si>
    <t xml:space="preserve">ВН  ТП-85 </t>
  </si>
  <si>
    <t>Выключатели нагрузки 6 корпуса
"Леони Заволжье"</t>
  </si>
  <si>
    <r>
      <t xml:space="preserve">ВН  ТП-112 </t>
    </r>
    <r>
      <rPr>
        <sz val="9"/>
        <rFont val="Times New Roman"/>
        <family val="1"/>
      </rPr>
      <t>т-1</t>
    </r>
  </si>
  <si>
    <r>
      <t xml:space="preserve">ВН  ТП-112 </t>
    </r>
    <r>
      <rPr>
        <sz val="9"/>
        <rFont val="Times New Roman"/>
        <family val="1"/>
      </rPr>
      <t>т-2</t>
    </r>
  </si>
  <si>
    <r>
      <t xml:space="preserve">ВН  ТП-113 </t>
    </r>
    <r>
      <rPr>
        <sz val="9"/>
        <rFont val="Times New Roman"/>
        <family val="1"/>
      </rPr>
      <t>т-1</t>
    </r>
  </si>
  <si>
    <r>
      <t xml:space="preserve">ВН  ТП-113 </t>
    </r>
    <r>
      <rPr>
        <sz val="9"/>
        <rFont val="Times New Roman"/>
        <family val="1"/>
      </rPr>
      <t>т-2</t>
    </r>
  </si>
  <si>
    <r>
      <t xml:space="preserve">ВН  ТП-114 </t>
    </r>
    <r>
      <rPr>
        <sz val="9"/>
        <rFont val="Times New Roman"/>
        <family val="1"/>
      </rPr>
      <t>т-1</t>
    </r>
  </si>
  <si>
    <r>
      <t xml:space="preserve">ВН  ТП-114 </t>
    </r>
    <r>
      <rPr>
        <sz val="9"/>
        <rFont val="Times New Roman"/>
        <family val="1"/>
      </rPr>
      <t>т-2</t>
    </r>
  </si>
  <si>
    <t>Выключатели нагрузки "Феррум"</t>
  </si>
  <si>
    <t>ВН  ТП-98</t>
  </si>
  <si>
    <t>ВН  ТП-99</t>
  </si>
  <si>
    <r>
      <t xml:space="preserve">ВН  ТП-102 </t>
    </r>
    <r>
      <rPr>
        <sz val="9"/>
        <rFont val="Times New Roman"/>
        <family val="1"/>
      </rPr>
      <t>т-1</t>
    </r>
  </si>
  <si>
    <r>
      <t xml:space="preserve">ВН  ТП-102 </t>
    </r>
    <r>
      <rPr>
        <sz val="9"/>
        <rFont val="Times New Roman"/>
        <family val="1"/>
      </rPr>
      <t>т-2</t>
    </r>
  </si>
  <si>
    <t>кабель АВВГ 4х70</t>
  </si>
  <si>
    <t>550 м</t>
  </si>
  <si>
    <t>4,8 км</t>
  </si>
  <si>
    <t>168 м</t>
  </si>
  <si>
    <t>1256 м</t>
  </si>
  <si>
    <t>кабель АВВГ 4х95</t>
  </si>
  <si>
    <t>40 м</t>
  </si>
  <si>
    <t>53 шт</t>
  </si>
  <si>
    <t>Линия №5 на ж/б опорах</t>
  </si>
  <si>
    <t>50 м</t>
  </si>
  <si>
    <t>11,9 км</t>
  </si>
  <si>
    <t>182 м</t>
  </si>
  <si>
    <t>1394,5 м</t>
  </si>
  <si>
    <t>13 шт</t>
  </si>
  <si>
    <t>кабель АВВГ 4х16</t>
  </si>
  <si>
    <t>1,5 км</t>
  </si>
  <si>
    <t>26 м</t>
  </si>
  <si>
    <t>262 м</t>
  </si>
  <si>
    <t>светильник ЖКУ-250</t>
  </si>
  <si>
    <t>лампа ДРЛ-250</t>
  </si>
  <si>
    <t>Линия №9на ж/б опорах</t>
  </si>
  <si>
    <t>провод А (1х16)</t>
  </si>
  <si>
    <t>0,96 км</t>
  </si>
  <si>
    <t>24 м</t>
  </si>
  <si>
    <t>12 шт</t>
  </si>
  <si>
    <t>248 м</t>
  </si>
  <si>
    <t>90 м</t>
  </si>
  <si>
    <t>9 шт</t>
  </si>
  <si>
    <t>Линия №13 на ж/б опорах</t>
  </si>
  <si>
    <t>0,6 км</t>
  </si>
  <si>
    <t>220 м</t>
  </si>
  <si>
    <t>Линия №14 на ж/б опорах</t>
  </si>
  <si>
    <t>кабель АВВГ 4х10</t>
  </si>
  <si>
    <t>150 м</t>
  </si>
  <si>
    <t>1,15 км</t>
  </si>
  <si>
    <t>Линия №15 на ж/б опорах</t>
  </si>
  <si>
    <t>15 шт</t>
  </si>
  <si>
    <t>Линия №19 на ж/б опорах</t>
  </si>
  <si>
    <t>прожектор 250Вт</t>
  </si>
  <si>
    <t>3 шт</t>
  </si>
  <si>
    <t>17шт +1пр.</t>
  </si>
  <si>
    <t>Линия №4А на ж/б опорах</t>
  </si>
  <si>
    <t>лампа индукцон. 120Вт</t>
  </si>
  <si>
    <t>от экспер.цеха (вх. тамбур) освещ.дороги от остановки ППС до зд.з/управления</t>
  </si>
  <si>
    <t>74 шт</t>
  </si>
  <si>
    <t>28 шт</t>
  </si>
  <si>
    <t>46 шт</t>
  </si>
  <si>
    <t>4 шт</t>
  </si>
  <si>
    <t>74шт + 1пр.</t>
  </si>
  <si>
    <t>108/12/6</t>
  </si>
  <si>
    <t xml:space="preserve">от Юж. проходной №8 (помещ. нач. караула) вдоль ППС, корп.4, столовой №1, </t>
  </si>
  <si>
    <t>61 шт</t>
  </si>
  <si>
    <t>8 шт</t>
  </si>
  <si>
    <t>61шт+12пр.</t>
  </si>
  <si>
    <t>от корпуса метрологов вокруг него</t>
  </si>
  <si>
    <t>13шт</t>
  </si>
  <si>
    <t>2 шт</t>
  </si>
  <si>
    <t>от поликлиники ОАО "ЗМЗ" полик-ка, уч. Корпус, УГА</t>
  </si>
  <si>
    <t>от КПП ПЧ-50 вокруг пожарной части</t>
  </si>
  <si>
    <t>от мастерских ПЛ-81 мастерские, ПЛ-81, ФОК</t>
  </si>
  <si>
    <t>13шт+1пр.</t>
  </si>
  <si>
    <t>Линия №29 на ж/б опорах</t>
  </si>
  <si>
    <t>от склада масел и химикатов</t>
  </si>
  <si>
    <t>Линия №32 на ж/б опорах</t>
  </si>
  <si>
    <t>10 м</t>
  </si>
  <si>
    <t>от СОП№2 по периметру отстойников</t>
  </si>
  <si>
    <t>0,8 км</t>
  </si>
  <si>
    <t>400 м</t>
  </si>
  <si>
    <t xml:space="preserve">4 шт </t>
  </si>
  <si>
    <t>276 м</t>
  </si>
  <si>
    <t>30 м</t>
  </si>
  <si>
    <t>0,3 км</t>
  </si>
  <si>
    <t>от насосной буф. емкостей Погруз. площадка №2</t>
  </si>
  <si>
    <t>350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</si>
  <si>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</si>
  <si>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</si>
  <si>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</si>
  <si>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</si>
  <si>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</si>
  <si>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</si>
  <si>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</si>
  <si>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</si>
  <si>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</si>
  <si>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</si>
  <si>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</si>
  <si>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</si>
  <si>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</si>
  <si>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</si>
  <si>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</si>
  <si>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</si>
  <si>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</si>
  <si>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</si>
  <si>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</si>
  <si>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</si>
  <si>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</si>
  <si>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</si>
  <si>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</si>
  <si>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</si>
  <si>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</si>
  <si>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</si>
  <si>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</si>
  <si>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</si>
  <si>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</si>
  <si>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</si>
  <si>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</si>
  <si>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</si>
  <si>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</si>
  <si>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</si>
  <si>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</si>
  <si>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</si>
  <si>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</si>
  <si>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</si>
  <si>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</si>
  <si>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</si>
  <si>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</si>
  <si>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>ГПП-1 Яч.№8 - ТП-21т-2</t>
  </si>
  <si>
    <r>
      <t>ГПП-1 ТП-21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ТП-20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(яч.8)</t>
    </r>
  </si>
  <si>
    <t>/ /12</t>
  </si>
  <si>
    <t>396/12/0</t>
  </si>
  <si>
    <t>72/12/0</t>
  </si>
  <si>
    <t>144/0/12</t>
  </si>
  <si>
    <t>ГПП-2  Яч.№64 - ТП-92т-1</t>
  </si>
  <si>
    <t>3г/12/6</t>
  </si>
  <si>
    <r>
      <t>ГПП-2  ТП-92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ТП-90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(яч.64)</t>
    </r>
  </si>
  <si>
    <t>РП-1 Яч.№19 - ТП-5</t>
  </si>
  <si>
    <t>РП-2 Яч.№17 - ТП-77 т-1</t>
  </si>
  <si>
    <r>
      <t>РП-2 ТП-76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ТП-77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(яч.5)</t>
    </r>
  </si>
  <si>
    <r>
      <t>ГПП-2 ТП-92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ТП-91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(яч.64)</t>
    </r>
  </si>
  <si>
    <t>ГПП-2 Яч.№12 - ТП-46т-1</t>
  </si>
  <si>
    <r>
      <t>РП-4 яч.1а - ТП-102</t>
    </r>
    <r>
      <rPr>
        <vertAlign val="subscript"/>
        <sz val="10"/>
        <rFont val="Times New Roman"/>
        <family val="1"/>
      </rPr>
      <t>1</t>
    </r>
  </si>
  <si>
    <r>
      <t>РП-4 яч.18 - ТП-102</t>
    </r>
    <r>
      <rPr>
        <vertAlign val="subscript"/>
        <sz val="10"/>
        <rFont val="Times New Roman"/>
        <family val="1"/>
      </rPr>
      <t>2</t>
    </r>
  </si>
  <si>
    <r>
      <t>ГПП-2 Яч.№10 - ТП-49</t>
    </r>
    <r>
      <rPr>
        <vertAlign val="subscript"/>
        <sz val="10"/>
        <rFont val="Times New Roman"/>
        <family val="1"/>
      </rPr>
      <t>2</t>
    </r>
  </si>
  <si>
    <r>
      <t>ГПП-2 ТП-49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ТП-48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(яч.10)</t>
    </r>
  </si>
  <si>
    <r>
      <t>ГПП-2 ТП-46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ТП-45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(яч.12)</t>
    </r>
  </si>
  <si>
    <r>
      <t>ГПП-2 ТП-46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ТП-44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(яч.12)</t>
    </r>
  </si>
  <si>
    <r>
      <t>РП-3 Яч.№18 - КНТП-47</t>
    </r>
    <r>
      <rPr>
        <vertAlign val="subscript"/>
        <sz val="10"/>
        <rFont val="Times New Roman"/>
        <family val="1"/>
      </rPr>
      <t>2</t>
    </r>
  </si>
  <si>
    <t>РП-1 Яч.№3 - ТП-14</t>
  </si>
  <si>
    <t>РП-1 ТП-14 - ТП-15 (яч.3)</t>
  </si>
  <si>
    <t>РП-1 ТП-15 - ТП-79 (яч.3)</t>
  </si>
  <si>
    <t>РП-1 Яч.№6 - ТП-13</t>
  </si>
  <si>
    <t>РП-1 ТП-13 - ТП-12 (яч.6)</t>
  </si>
  <si>
    <t>Кабельные линии "TRELLEBORG"</t>
  </si>
  <si>
    <r>
      <t>РП-4 ТП-102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ТП-98 </t>
    </r>
    <r>
      <rPr>
        <sz val="8"/>
        <rFont val="Times New Roman"/>
        <family val="1"/>
      </rPr>
      <t>(яч.18)</t>
    </r>
  </si>
  <si>
    <r>
      <t>РП-4 ТП-102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ТП-99(яч.1а)</t>
    </r>
  </si>
  <si>
    <t>Яч.№17 - ТП-119 т-2</t>
  </si>
  <si>
    <t>от корпуса№3 до Градирни</t>
  </si>
  <si>
    <t xml:space="preserve">кабель АВВГ 4х50 </t>
  </si>
  <si>
    <t>автомат А-3720 100А</t>
  </si>
  <si>
    <t>контактор ПМ 12-160 160А</t>
  </si>
  <si>
    <t>ТП-23 фидер5</t>
  </si>
  <si>
    <t xml:space="preserve">кабель КГ 4х50 </t>
  </si>
  <si>
    <t>8 м</t>
  </si>
  <si>
    <t>автомат А-3722 250А</t>
  </si>
  <si>
    <t>Вакуум. контактор 400А</t>
  </si>
  <si>
    <t>шинопровод М3 коробка К7</t>
  </si>
  <si>
    <r>
      <t>ТП-53</t>
    </r>
    <r>
      <rPr>
        <sz val="9"/>
        <rFont val="Times New Roman"/>
        <family val="1"/>
      </rPr>
      <t xml:space="preserve"> магистральный</t>
    </r>
  </si>
  <si>
    <t xml:space="preserve">кабель АВВГ 4х35 </t>
  </si>
  <si>
    <t>автомат ВА 57-35 200А</t>
  </si>
  <si>
    <t>Щитовая с ШР-1 5 группа</t>
  </si>
  <si>
    <t>с ШР-1 4 группа</t>
  </si>
  <si>
    <t xml:space="preserve">кабель АВВГ 4х25 </t>
  </si>
  <si>
    <t>с ШР-1 фидер 4</t>
  </si>
  <si>
    <t xml:space="preserve">кабель АВВГ 4х10 </t>
  </si>
  <si>
    <t>автомат АЕ 2056 100А</t>
  </si>
  <si>
    <t>с ШР-1 6 группа</t>
  </si>
  <si>
    <t>ЯБПВУ 100А</t>
  </si>
  <si>
    <t>12 м</t>
  </si>
  <si>
    <t>ТП-115</t>
  </si>
  <si>
    <t>контактор ПМ 6021 160А</t>
  </si>
  <si>
    <t>кабель АВВГ 4х6</t>
  </si>
  <si>
    <t>ЩО-1 (ул. освещ. линия 1)</t>
  </si>
  <si>
    <t>ШУ-1 (ул. освещ. линия 1)</t>
  </si>
  <si>
    <t>ШУ-1 (ул. освещ. линия 4,5)</t>
  </si>
  <si>
    <t>ШНО-1</t>
  </si>
  <si>
    <t>ЩО (ул. освещ. линия 7)</t>
  </si>
  <si>
    <t>автомат АЕ 2056 125А</t>
  </si>
  <si>
    <t>ШУ-1 (ул. освещ.)</t>
  </si>
  <si>
    <t>ЩО-1</t>
  </si>
  <si>
    <t>автомат АЕ 2046 16А</t>
  </si>
  <si>
    <t>ЩО-1 6 гр.</t>
  </si>
  <si>
    <t>с ШР-1  3 группа</t>
  </si>
  <si>
    <t>контактор ПМА45 160А</t>
  </si>
  <si>
    <t>с ЩО-3 3 группа</t>
  </si>
  <si>
    <t>автомат АП50М 25А(стена)</t>
  </si>
  <si>
    <t>ЩО насосной</t>
  </si>
  <si>
    <t>автомат АЕ 2056 25А</t>
  </si>
  <si>
    <t>35м</t>
  </si>
  <si>
    <t>15л/36/12</t>
  </si>
  <si>
    <t>6л/12/6</t>
  </si>
  <si>
    <t>12л/12/0</t>
  </si>
  <si>
    <t>48/12/6</t>
  </si>
  <si>
    <t>L=</t>
  </si>
  <si>
    <t>м</t>
  </si>
  <si>
    <t>Дата послед-него кап. ремонта</t>
  </si>
  <si>
    <t>14л/24/12</t>
  </si>
  <si>
    <t>3г/12/0</t>
  </si>
  <si>
    <t>8л/24/0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</si>
  <si>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</si>
  <si>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</si>
  <si>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</si>
  <si>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</si>
  <si>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</si>
  <si>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</si>
  <si>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</si>
  <si>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</si>
  <si>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</si>
  <si>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</si>
  <si>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</si>
  <si>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</si>
  <si>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</si>
  <si>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</si>
  <si>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</si>
  <si>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</si>
  <si>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</si>
  <si>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120/12/6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</si>
  <si>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</si>
  <si>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</si>
  <si>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</si>
  <si>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</si>
  <si>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</si>
  <si>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</si>
  <si>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</si>
  <si>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</si>
  <si>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</si>
  <si>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</si>
  <si>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</si>
  <si>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</si>
  <si>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</si>
  <si>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</si>
  <si>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</si>
  <si>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</si>
  <si>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</si>
  <si>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Месяц</t>
  </si>
  <si>
    <t>К</t>
  </si>
  <si>
    <t>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</si>
  <si>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</si>
  <si>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</si>
  <si>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</si>
  <si>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</si>
  <si>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</si>
  <si>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</si>
  <si>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</si>
  <si>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</si>
  <si>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</si>
  <si>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</si>
  <si>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</si>
  <si>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</si>
  <si>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ГПП-1</t>
  </si>
  <si>
    <t>Закрытое распределительное устройство КРУ-2-10</t>
  </si>
  <si>
    <t>Ячейка №1</t>
  </si>
  <si>
    <t>ТО</t>
  </si>
  <si>
    <t>Ячейка №3</t>
  </si>
  <si>
    <t>Ячейка №4</t>
  </si>
  <si>
    <t>Ячейка №5</t>
  </si>
  <si>
    <t>Ячейка №6</t>
  </si>
  <si>
    <t>Ячейка №7</t>
  </si>
  <si>
    <t>Ячейка №8</t>
  </si>
  <si>
    <t>Ячейка №9</t>
  </si>
  <si>
    <t>Ячейка №10</t>
  </si>
  <si>
    <t>Ячейка №11</t>
  </si>
  <si>
    <t>Ячейка №12</t>
  </si>
  <si>
    <t>Ячейка №13</t>
  </si>
  <si>
    <t>Ячейка №15</t>
  </si>
  <si>
    <t>Ячейка №16</t>
  </si>
  <si>
    <t>Ячейка №17</t>
  </si>
  <si>
    <t>Ячейка №18</t>
  </si>
  <si>
    <t>Ячейка №19</t>
  </si>
  <si>
    <t>Ячейка №20</t>
  </si>
  <si>
    <t>Ячейка №23</t>
  </si>
  <si>
    <t>Ячейка №25</t>
  </si>
  <si>
    <t>Ячейка №28</t>
  </si>
  <si>
    <t>Ячейка №29</t>
  </si>
  <si>
    <t>Ячейка №32</t>
  </si>
  <si>
    <t>Сборные шины</t>
  </si>
  <si>
    <t>120м</t>
  </si>
  <si>
    <t>5шт</t>
  </si>
  <si>
    <t>-/6</t>
  </si>
  <si>
    <t>-</t>
  </si>
  <si>
    <t>Сети освещения ЗРУ-10</t>
  </si>
  <si>
    <t>ВВГ(3х2,5)</t>
  </si>
  <si>
    <t>250м</t>
  </si>
  <si>
    <t>ЛПО(2х40)</t>
  </si>
  <si>
    <t>25шт</t>
  </si>
  <si>
    <t>БС</t>
  </si>
  <si>
    <t>3шт</t>
  </si>
  <si>
    <t>Сети отопления</t>
  </si>
  <si>
    <t>Печи отопительные</t>
  </si>
  <si>
    <t>1шт</t>
  </si>
  <si>
    <t>ГПП-2</t>
  </si>
  <si>
    <t>Закрытое распределительное устройство 10кВ</t>
  </si>
  <si>
    <t>Ячейка №2</t>
  </si>
  <si>
    <t>4шт</t>
  </si>
  <si>
    <t>2шт</t>
  </si>
  <si>
    <t>Щит защиты</t>
  </si>
  <si>
    <t>трансфор-ра 40МВА</t>
  </si>
  <si>
    <t>АВВГ(2х2,5)</t>
  </si>
  <si>
    <t>600м</t>
  </si>
  <si>
    <t xml:space="preserve">ЛПО 2х40  </t>
  </si>
  <si>
    <t>47шт</t>
  </si>
  <si>
    <t>Шкаф освещения</t>
  </si>
  <si>
    <t>Закрытое распределительное устройство -  10кВ  КРУ-10</t>
  </si>
  <si>
    <t>136563</t>
  </si>
  <si>
    <t>72/12/6</t>
  </si>
  <si>
    <t>Ячейка №55</t>
  </si>
  <si>
    <t>Ячейка №58</t>
  </si>
  <si>
    <t>Ячейка №64</t>
  </si>
  <si>
    <t>Распределительная</t>
  </si>
  <si>
    <t>Закрытое распределительное устройство КСО-24</t>
  </si>
  <si>
    <t>17243</t>
  </si>
  <si>
    <t>Сети освещения</t>
  </si>
  <si>
    <t>50м</t>
  </si>
  <si>
    <t>70м</t>
  </si>
  <si>
    <t>РП-2</t>
  </si>
  <si>
    <t>Закрытое распределительное устройство КРУ-10; КСО-298 НН</t>
  </si>
  <si>
    <t>3473</t>
  </si>
  <si>
    <r>
      <t>Ячейка №5 ТП-77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; 76</t>
    </r>
    <r>
      <rPr>
        <vertAlign val="subscript"/>
        <sz val="10"/>
        <rFont val="Times New Roman"/>
        <family val="1"/>
      </rPr>
      <t>2</t>
    </r>
  </si>
  <si>
    <t xml:space="preserve">Сети освещения </t>
  </si>
  <si>
    <t>ПВЛМ  2х40</t>
  </si>
  <si>
    <t>10шт</t>
  </si>
  <si>
    <t>ЛПО   2х40</t>
  </si>
  <si>
    <t>НСП</t>
  </si>
  <si>
    <t>Эл.двигатель</t>
  </si>
  <si>
    <t>вентилятора Р=0,6кВт</t>
  </si>
  <si>
    <t>сеть заземления l=70м</t>
  </si>
  <si>
    <t>54130</t>
  </si>
  <si>
    <t>ЛПО2х40</t>
  </si>
  <si>
    <t>Шкаф АВР от ТП-45</t>
  </si>
  <si>
    <t xml:space="preserve">ТО </t>
  </si>
  <si>
    <t>Эл.двигатель вентилятора</t>
  </si>
  <si>
    <t>РП-4</t>
  </si>
  <si>
    <t>8434</t>
  </si>
  <si>
    <t>Al(10х100) L=20м</t>
  </si>
  <si>
    <t>ИОР-10-7,5    70шт</t>
  </si>
  <si>
    <t>16шт</t>
  </si>
  <si>
    <t>30м</t>
  </si>
  <si>
    <t>РП-5</t>
  </si>
  <si>
    <t>Закрытое распределительное устройство КРУ-2-10Э</t>
  </si>
  <si>
    <t>40129</t>
  </si>
  <si>
    <t>10м</t>
  </si>
  <si>
    <t>ЗРУ-6кВ</t>
  </si>
  <si>
    <t>Закрытое распределительное устройство КРУ-6-44</t>
  </si>
  <si>
    <t>3594</t>
  </si>
  <si>
    <t>РП-6</t>
  </si>
  <si>
    <t>ЗРУ-10кВ КРУ серии КМ-1-10-30</t>
  </si>
  <si>
    <t>15шт</t>
  </si>
  <si>
    <t>72/24/12</t>
  </si>
  <si>
    <t>36/12/0</t>
  </si>
  <si>
    <t>РП-8</t>
  </si>
  <si>
    <t>78196</t>
  </si>
  <si>
    <t>78205</t>
  </si>
  <si>
    <t>Ячейка №12    НТМИ</t>
  </si>
  <si>
    <t>78206</t>
  </si>
  <si>
    <t>Ячейка №15    НТМИ</t>
  </si>
  <si>
    <t>78209</t>
  </si>
  <si>
    <t>Ячейка №21    ТСН</t>
  </si>
  <si>
    <t>78215</t>
  </si>
  <si>
    <t>78219</t>
  </si>
  <si>
    <t>УПНС-2У3    2шт</t>
  </si>
  <si>
    <t>РП-7</t>
  </si>
  <si>
    <t>9219</t>
  </si>
  <si>
    <t>1 шт</t>
  </si>
  <si>
    <t>ГПП-1 ОРУ-110кВ                                     трансформатора 32000кВА №620</t>
  </si>
  <si>
    <t>ВГТ-110</t>
  </si>
  <si>
    <t>Привод к ЭГВ-110</t>
  </si>
  <si>
    <t>Заземляющий нож</t>
  </si>
  <si>
    <t>Привод к ЗОН ручной</t>
  </si>
  <si>
    <t>ОПН-110</t>
  </si>
  <si>
    <t xml:space="preserve">Привод ручной    </t>
  </si>
  <si>
    <t xml:space="preserve">Шинный мост </t>
  </si>
  <si>
    <t>36м</t>
  </si>
  <si>
    <t>РЛНД-110</t>
  </si>
  <si>
    <t>Автомат собств. нужд</t>
  </si>
  <si>
    <t>100А</t>
  </si>
  <si>
    <t>Электродвигатели обдува</t>
  </si>
  <si>
    <t>АЗЛ-0,25</t>
  </si>
  <si>
    <t>18шт</t>
  </si>
  <si>
    <t>Шкаф РЗА</t>
  </si>
  <si>
    <t>ГПП-1 ОРУ-110кВ                                     трансформатора 40000кВА №1499307</t>
  </si>
  <si>
    <t>2ДАТ120-250</t>
  </si>
  <si>
    <t>Разъединитель</t>
  </si>
  <si>
    <t>Автомат собственных</t>
  </si>
  <si>
    <t>нужд  100А</t>
  </si>
  <si>
    <t>Шкаф обдува тр-ра</t>
  </si>
  <si>
    <t>ЭГВ-110</t>
  </si>
  <si>
    <t>Заземл. разъединитель</t>
  </si>
  <si>
    <t>ГПП-2 ОРУ-110кВ                                     трансформатора №1 40000кВА №19320</t>
  </si>
  <si>
    <t>ППРк</t>
  </si>
  <si>
    <t xml:space="preserve">3х полюсный    </t>
  </si>
  <si>
    <t>Эл.двигатели обдува</t>
  </si>
  <si>
    <t xml:space="preserve"> 4А-63-В4-0,25</t>
  </si>
  <si>
    <t>Силовые трансформаторы</t>
  </si>
  <si>
    <t xml:space="preserve">ТП-20/1          </t>
  </si>
  <si>
    <t>3828</t>
  </si>
  <si>
    <t>4823</t>
  </si>
  <si>
    <t xml:space="preserve">ТП-21/2         </t>
  </si>
  <si>
    <t xml:space="preserve">ТП-76/1         </t>
  </si>
  <si>
    <t>18192</t>
  </si>
  <si>
    <t>ТП-77/1</t>
  </si>
  <si>
    <t>18193</t>
  </si>
  <si>
    <t xml:space="preserve">ТП-80/1          </t>
  </si>
  <si>
    <t>39470</t>
  </si>
  <si>
    <t xml:space="preserve">ТП-90/1          </t>
  </si>
  <si>
    <t>35719</t>
  </si>
  <si>
    <t xml:space="preserve">ТП-91/1          </t>
  </si>
  <si>
    <t>36613</t>
  </si>
  <si>
    <t xml:space="preserve">ТП-92/1          </t>
  </si>
  <si>
    <t>35718</t>
  </si>
  <si>
    <t xml:space="preserve">ТП-103           </t>
  </si>
  <si>
    <t xml:space="preserve">ТП-5600/1       </t>
  </si>
  <si>
    <t>4052</t>
  </si>
  <si>
    <t>Трансформаторы в резерве</t>
  </si>
  <si>
    <t>ТМ-630</t>
  </si>
  <si>
    <t>78147</t>
  </si>
  <si>
    <t>144/12/0</t>
  </si>
  <si>
    <t>Электродвигатели - 6кВ котельная №1</t>
  </si>
  <si>
    <t>14Д</t>
  </si>
  <si>
    <t>асинхронный двигатель</t>
  </si>
  <si>
    <t>2122</t>
  </si>
  <si>
    <t>Сетевой насос №4</t>
  </si>
  <si>
    <t>Компрессорная станция №1</t>
  </si>
  <si>
    <t>Центробежный компр.</t>
  </si>
  <si>
    <t>К-250</t>
  </si>
  <si>
    <t>синхр.эл.дв.   1500/6</t>
  </si>
  <si>
    <t>СТМ-2</t>
  </si>
  <si>
    <t>3588</t>
  </si>
  <si>
    <t>Кабельные линии - 10кВ</t>
  </si>
  <si>
    <t>АСБ(3х95)</t>
  </si>
  <si>
    <t>АСБ(3х70)</t>
  </si>
  <si>
    <t>АСБ(3х50)</t>
  </si>
  <si>
    <t>АСБ2(3х240)</t>
  </si>
  <si>
    <t>Яч.№30 - РП-1 №5</t>
  </si>
  <si>
    <t>Яч.№7 -ВН-16 ТСН№1</t>
  </si>
  <si>
    <t>ВН-16 ТСН №1 -                   ВН-16 ТСН №2</t>
  </si>
  <si>
    <t>ААШВ(3х120)</t>
  </si>
  <si>
    <t>ААШВ(3х70)</t>
  </si>
  <si>
    <t>ААШВ(3х95)</t>
  </si>
  <si>
    <t>АСБГ(3х70)</t>
  </si>
  <si>
    <t>АСБГ(3х185)</t>
  </si>
  <si>
    <t>СББ(3х95)</t>
  </si>
  <si>
    <t>ААШВ(3х150)</t>
  </si>
  <si>
    <t>Кабельные линии РП-2 - 10кВ</t>
  </si>
  <si>
    <t>180/0/12</t>
  </si>
  <si>
    <t>144/36/12</t>
  </si>
  <si>
    <t>36/12/6</t>
  </si>
  <si>
    <r>
      <t>ТП-77</t>
    </r>
    <r>
      <rPr>
        <sz val="9"/>
        <rFont val="Times New Roman"/>
        <family val="1"/>
      </rPr>
      <t>1</t>
    </r>
    <r>
      <rPr>
        <sz val="11"/>
        <rFont val="Times New Roman"/>
        <family val="1"/>
      </rPr>
      <t xml:space="preserve"> - ТП-76</t>
    </r>
    <r>
      <rPr>
        <sz val="9"/>
        <rFont val="Times New Roman"/>
        <family val="1"/>
      </rPr>
      <t>1</t>
    </r>
  </si>
  <si>
    <t>Кабельные линии РП-5 - 10кВ</t>
  </si>
  <si>
    <t>Кабельные линии РП-8 - 10кВ</t>
  </si>
  <si>
    <t>Контр. кабель центр. сигн.</t>
  </si>
  <si>
    <t>ГПП-2 - РП-8</t>
  </si>
  <si>
    <r>
      <t>(14х2,5мм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</si>
  <si>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Резервные кабельные линии 10кВ</t>
  </si>
  <si>
    <t>ТП-16 - ТП-111</t>
  </si>
  <si>
    <t>1500об/м</t>
  </si>
  <si>
    <t>4AF-400 XK-4Y4</t>
  </si>
  <si>
    <t>400/6</t>
  </si>
  <si>
    <t>Распределительное устройство 10кВ. КСО-2 №98</t>
  </si>
  <si>
    <t>Кабельные линии 10 кВ</t>
  </si>
  <si>
    <t>Кабельные линии "Феррум"</t>
  </si>
  <si>
    <t xml:space="preserve">ТП-80/2          </t>
  </si>
  <si>
    <r>
      <t>Яч.№2 - ТП-80</t>
    </r>
    <r>
      <rPr>
        <sz val="9"/>
        <rFont val="Times New Roman"/>
        <family val="1"/>
      </rPr>
      <t>т-1</t>
    </r>
  </si>
  <si>
    <t>АСБ(3х150)</t>
  </si>
  <si>
    <r>
      <t>Яч.№14 - ТП-80 т</t>
    </r>
    <r>
      <rPr>
        <sz val="9"/>
        <rFont val="Times New Roman"/>
        <family val="1"/>
      </rPr>
      <t>-2</t>
    </r>
  </si>
  <si>
    <t>Силовые трансформаторы ООО "ТММ"</t>
  </si>
  <si>
    <t>Кабельные линии РП-5 - 10кВ ООО "ТММ"</t>
  </si>
  <si>
    <r>
      <t xml:space="preserve">ВН  ТП-80 </t>
    </r>
    <r>
      <rPr>
        <sz val="9"/>
        <rFont val="Times New Roman"/>
        <family val="1"/>
      </rPr>
      <t>т-1</t>
    </r>
  </si>
  <si>
    <r>
      <t xml:space="preserve">ВН  ТП-80 </t>
    </r>
    <r>
      <rPr>
        <sz val="9"/>
        <rFont val="Times New Roman"/>
        <family val="1"/>
      </rPr>
      <t>т-2</t>
    </r>
  </si>
  <si>
    <t>Выключатели нагрузки ООО "ТММ"</t>
  </si>
  <si>
    <t>РП-3 Яч.№23 - ИАТ-2,5 №16</t>
  </si>
  <si>
    <t>РП-3 Яч.№25-ИАТ-2,5 №17</t>
  </si>
  <si>
    <t>РП-3 на ООО Литейный завод "РосАЛит"</t>
  </si>
  <si>
    <t>РП-1 на ООО Литейный завод "РосАЛит"</t>
  </si>
  <si>
    <t xml:space="preserve">Силовые трансформаторы на ЗФ ООО "УАЗ"  </t>
  </si>
  <si>
    <t xml:space="preserve">Кабельные линии на ЗФ ООО "УАЗ"  </t>
  </si>
  <si>
    <t>Кабельные линии на ООО Литейный завод "РосАЛит"</t>
  </si>
  <si>
    <t>Выключатели нагрузки на ЗФ ООО "УАЗ"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</si>
</sst>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1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b/>
      <sz val="9"/>
      <color indexed="10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4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/>
    </xf>
    <xf numFmtId="0" fontId="33" fillId="34" borderId="19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70" fillId="35" borderId="10" xfId="0" applyFont="1" applyFill="1" applyBorder="1" applyAlignment="1">
      <alignment horizontal="center"/>
    </xf>
    <xf numFmtId="0" fontId="71" fillId="35" borderId="10" xfId="0" applyFont="1" applyFill="1" applyBorder="1" applyAlignment="1">
      <alignment/>
    </xf>
    <xf numFmtId="0" fontId="72" fillId="35" borderId="10" xfId="0" applyFont="1" applyFill="1" applyBorder="1" applyAlignment="1">
      <alignment horizontal="center"/>
    </xf>
    <xf numFmtId="16" fontId="72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right" vertical="center" indent="3"/>
    </xf>
    <xf numFmtId="0" fontId="0" fillId="0" borderId="19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6" fillId="0" borderId="27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7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32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19" fillId="33" borderId="32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 wrapText="1"/>
    </xf>
    <xf numFmtId="172" fontId="19" fillId="0" borderId="0" xfId="0" applyNumberFormat="1" applyFont="1" applyAlignment="1">
      <alignment horizontal="left" vertical="center"/>
    </xf>
    <xf numFmtId="2" fontId="19" fillId="0" borderId="41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17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75" t="s">
        <v>388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15">
      <c r="A2" s="151" t="s">
        <v>384</v>
      </c>
      <c r="B2" s="152"/>
      <c r="C2" s="153"/>
      <c r="D2" s="83" t="s">
        <v>240</v>
      </c>
      <c r="E2" s="83" t="s">
        <v>241</v>
      </c>
      <c r="F2" s="83" t="s">
        <v>242</v>
      </c>
      <c r="G2" s="83" t="s">
        <v>243</v>
      </c>
      <c r="H2" s="83" t="s">
        <v>244</v>
      </c>
      <c r="I2" s="83" t="s">
        <v>245</v>
      </c>
      <c r="J2" s="83" t="s">
        <v>246</v>
      </c>
      <c r="K2" s="83" t="s">
        <v>247</v>
      </c>
      <c r="L2" s="83" t="s">
        <v>248</v>
      </c>
      <c r="M2" s="83" t="s">
        <v>249</v>
      </c>
      <c r="N2" s="83" t="s">
        <v>250</v>
      </c>
      <c r="O2" s="83" t="s">
        <v>251</v>
      </c>
    </row>
    <row r="3" spans="1:15" ht="21" customHeight="1" thickBot="1">
      <c r="A3" s="154" t="s">
        <v>375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1:15" s="40" customFormat="1" ht="15.75" customHeight="1">
      <c r="A4" s="138" t="s">
        <v>252</v>
      </c>
      <c r="B4" s="139"/>
      <c r="C4" s="52" t="s">
        <v>253</v>
      </c>
      <c r="D4" s="53" t="e">
        <f>SUMIF(#REF!,"=К",#REF!)</f>
        <v>#REF!</v>
      </c>
      <c r="E4" s="53" t="e">
        <f>SUMIF(#REF!,"=К",#REF!)</f>
        <v>#REF!</v>
      </c>
      <c r="F4" s="53" t="e">
        <f>SUMIF(#REF!,"=К",#REF!)</f>
        <v>#REF!</v>
      </c>
      <c r="G4" s="53" t="e">
        <f>SUMIF(#REF!,"=К",#REF!)</f>
        <v>#REF!</v>
      </c>
      <c r="H4" s="53" t="e">
        <f>SUMIF(#REF!,"=К",#REF!)</f>
        <v>#REF!</v>
      </c>
      <c r="I4" s="53" t="e">
        <f>SUMIF(#REF!,"=К",#REF!)</f>
        <v>#REF!</v>
      </c>
      <c r="J4" s="53" t="e">
        <f>SUMIF(#REF!,"=К",#REF!)</f>
        <v>#REF!</v>
      </c>
      <c r="K4" s="53" t="e">
        <f>SUMIF(#REF!,"=К",#REF!)</f>
        <v>#REF!</v>
      </c>
      <c r="L4" s="53" t="e">
        <f>SUMIF(#REF!,"=К",#REF!)</f>
        <v>#REF!</v>
      </c>
      <c r="M4" s="53" t="e">
        <f>SUMIF(#REF!,"=К",#REF!)</f>
        <v>#REF!</v>
      </c>
      <c r="N4" s="53" t="e">
        <f>SUMIF(#REF!,"=К",#REF!)</f>
        <v>#REF!</v>
      </c>
      <c r="O4" s="53" t="e">
        <f>SUMIF(#REF!,"=К",#REF!)</f>
        <v>#REF!</v>
      </c>
    </row>
    <row r="5" spans="1:15" s="40" customFormat="1" ht="15.75" customHeight="1">
      <c r="A5" s="140"/>
      <c r="B5" s="141"/>
      <c r="C5" s="54" t="s">
        <v>254</v>
      </c>
      <c r="D5" s="55" t="e">
        <f>COUNTIF(#REF!,"=К")</f>
        <v>#REF!</v>
      </c>
      <c r="E5" s="55" t="e">
        <f>COUNTIF(#REF!,"=К")</f>
        <v>#REF!</v>
      </c>
      <c r="F5" s="55" t="e">
        <f>COUNTIF(#REF!,"=К")</f>
        <v>#REF!</v>
      </c>
      <c r="G5" s="55" t="e">
        <f>COUNTIF(#REF!,"=К")</f>
        <v>#REF!</v>
      </c>
      <c r="H5" s="55" t="e">
        <f>COUNTIF(#REF!,"=К")</f>
        <v>#REF!</v>
      </c>
      <c r="I5" s="55" t="e">
        <f>COUNTIF(#REF!,"=К")</f>
        <v>#REF!</v>
      </c>
      <c r="J5" s="55" t="e">
        <f>COUNTIF(#REF!,"=К")</f>
        <v>#REF!</v>
      </c>
      <c r="K5" s="55" t="e">
        <f>COUNTIF(#REF!,"=К")</f>
        <v>#REF!</v>
      </c>
      <c r="L5" s="55" t="e">
        <f>COUNTIF(#REF!,"=К")</f>
        <v>#REF!</v>
      </c>
      <c r="M5" s="55" t="e">
        <f>COUNTIF(#REF!,"=К")</f>
        <v>#REF!</v>
      </c>
      <c r="N5" s="55" t="e">
        <f>COUNTIF(#REF!,"=К")</f>
        <v>#REF!</v>
      </c>
      <c r="O5" s="55" t="e">
        <f>COUNTIF(#REF!,"=К")</f>
        <v>#REF!</v>
      </c>
    </row>
    <row r="6" spans="1:15" s="40" customFormat="1" ht="15.75" customHeight="1">
      <c r="A6" s="142" t="s">
        <v>255</v>
      </c>
      <c r="B6" s="143"/>
      <c r="C6" s="56" t="s">
        <v>253</v>
      </c>
      <c r="D6" s="55" t="e">
        <f>SUMIF(#REF!,"=Т",#REF!)</f>
        <v>#REF!</v>
      </c>
      <c r="E6" s="55" t="e">
        <f>SUMIF(#REF!,"=Т",#REF!)</f>
        <v>#REF!</v>
      </c>
      <c r="F6" s="55" t="e">
        <f>SUMIF(#REF!,"=Т",#REF!)</f>
        <v>#REF!</v>
      </c>
      <c r="G6" s="55" t="e">
        <f>SUMIF(#REF!,"=Т",#REF!)</f>
        <v>#REF!</v>
      </c>
      <c r="H6" s="55" t="e">
        <f>SUMIF(#REF!,"=Т",#REF!)</f>
        <v>#REF!</v>
      </c>
      <c r="I6" s="55" t="e">
        <f>SUMIF(#REF!,"=Т",#REF!)</f>
        <v>#REF!</v>
      </c>
      <c r="J6" s="55" t="e">
        <f>SUMIF(#REF!,"=Т",#REF!)</f>
        <v>#REF!</v>
      </c>
      <c r="K6" s="55" t="e">
        <f>SUMIF(#REF!,"=Т",#REF!)</f>
        <v>#REF!</v>
      </c>
      <c r="L6" s="55" t="e">
        <f>SUMIF(#REF!,"=Т",#REF!)</f>
        <v>#REF!</v>
      </c>
      <c r="M6" s="55" t="e">
        <f>SUMIF(#REF!,"=Т",#REF!)</f>
        <v>#REF!</v>
      </c>
      <c r="N6" s="55" t="e">
        <f>SUMIF(#REF!,"=Т",#REF!)</f>
        <v>#REF!</v>
      </c>
      <c r="O6" s="55" t="e">
        <f>SUMIF(#REF!,"=Т",#REF!)</f>
        <v>#REF!</v>
      </c>
    </row>
    <row r="7" spans="1:15" s="40" customFormat="1" ht="15.75" customHeight="1">
      <c r="A7" s="142"/>
      <c r="B7" s="143"/>
      <c r="C7" s="54" t="s">
        <v>254</v>
      </c>
      <c r="D7" s="55" t="e">
        <f>COUNTIF(#REF!,"=Т")</f>
        <v>#REF!</v>
      </c>
      <c r="E7" s="55" t="e">
        <f>COUNTIF(#REF!,"=Т")</f>
        <v>#REF!</v>
      </c>
      <c r="F7" s="55" t="e">
        <f>COUNTIF(#REF!,"=Т")</f>
        <v>#REF!</v>
      </c>
      <c r="G7" s="55" t="e">
        <f>COUNTIF(#REF!,"=Т")</f>
        <v>#REF!</v>
      </c>
      <c r="H7" s="55" t="e">
        <f>COUNTIF(#REF!,"=Т")</f>
        <v>#REF!</v>
      </c>
      <c r="I7" s="55" t="e">
        <f>COUNTIF(#REF!,"=Т")</f>
        <v>#REF!</v>
      </c>
      <c r="J7" s="55" t="e">
        <f>COUNTIF(#REF!,"=Т")</f>
        <v>#REF!</v>
      </c>
      <c r="K7" s="55" t="e">
        <f>COUNTIF(#REF!,"=Т")</f>
        <v>#REF!</v>
      </c>
      <c r="L7" s="55" t="e">
        <f>COUNTIF(#REF!,"=Т")</f>
        <v>#REF!</v>
      </c>
      <c r="M7" s="55" t="e">
        <f>COUNTIF(#REF!,"=Т")</f>
        <v>#REF!</v>
      </c>
      <c r="N7" s="55" t="e">
        <f>COUNTIF(#REF!,"=Т")</f>
        <v>#REF!</v>
      </c>
      <c r="O7" s="55" t="e">
        <f>COUNTIF(#REF!,"=Т")</f>
        <v>#REF!</v>
      </c>
    </row>
    <row r="8" spans="1:15" s="40" customFormat="1" ht="15.75" customHeight="1">
      <c r="A8" s="140" t="s">
        <v>256</v>
      </c>
      <c r="B8" s="141"/>
      <c r="C8" s="56" t="s">
        <v>253</v>
      </c>
      <c r="D8" s="55" t="e">
        <f>SUMIF(#REF!,"=ТО",#REF!)*0.1</f>
        <v>#REF!</v>
      </c>
      <c r="E8" s="55" t="e">
        <f>SUMIF(#REF!,"=ТО",#REF!)*0.1</f>
        <v>#REF!</v>
      </c>
      <c r="F8" s="55" t="e">
        <f>SUMIF(#REF!,"=ТО",#REF!)*0.1</f>
        <v>#REF!</v>
      </c>
      <c r="G8" s="55" t="e">
        <f>SUMIF(#REF!,"=ТО",#REF!)*0.1</f>
        <v>#REF!</v>
      </c>
      <c r="H8" s="55" t="e">
        <f>SUMIF(#REF!,"=ТО",#REF!)*0.1</f>
        <v>#REF!</v>
      </c>
      <c r="I8" s="55" t="e">
        <f>SUMIF(#REF!,"=ТО",#REF!)*0.1</f>
        <v>#REF!</v>
      </c>
      <c r="J8" s="55" t="e">
        <f>SUMIF(#REF!,"=ТО",#REF!)*0.1</f>
        <v>#REF!</v>
      </c>
      <c r="K8" s="55" t="e">
        <f>SUMIF(#REF!,"=ТО",#REF!)*0.1</f>
        <v>#REF!</v>
      </c>
      <c r="L8" s="55" t="e">
        <f>SUMIF(#REF!,"=ТО",#REF!)*0.1</f>
        <v>#REF!</v>
      </c>
      <c r="M8" s="55" t="e">
        <f>SUMIF(#REF!,"=ТО",#REF!)*0.1</f>
        <v>#REF!</v>
      </c>
      <c r="N8" s="55" t="e">
        <f>SUMIF(#REF!,"=ТО",#REF!)*0.1</f>
        <v>#REF!</v>
      </c>
      <c r="O8" s="55" t="e">
        <f>SUMIF(#REF!,"=ТО",#REF!)*0.1</f>
        <v>#REF!</v>
      </c>
    </row>
    <row r="9" spans="1:15" s="40" customFormat="1" ht="15.75" customHeight="1">
      <c r="A9" s="144"/>
      <c r="B9" s="145"/>
      <c r="C9" s="54" t="s">
        <v>254</v>
      </c>
      <c r="D9" s="55" t="e">
        <f>COUNTIF(#REF!,"=ТО")</f>
        <v>#REF!</v>
      </c>
      <c r="E9" s="55" t="e">
        <f>COUNTIF(#REF!,"=ТО")</f>
        <v>#REF!</v>
      </c>
      <c r="F9" s="55" t="e">
        <f>COUNTIF(#REF!,"=ТО")</f>
        <v>#REF!</v>
      </c>
      <c r="G9" s="55" t="e">
        <f>COUNTIF(#REF!,"=ТО")</f>
        <v>#REF!</v>
      </c>
      <c r="H9" s="55" t="e">
        <f>COUNTIF(#REF!,"=ТО")</f>
        <v>#REF!</v>
      </c>
      <c r="I9" s="55" t="e">
        <f>COUNTIF(#REF!,"=ТО")</f>
        <v>#REF!</v>
      </c>
      <c r="J9" s="55" t="e">
        <f>COUNTIF(#REF!,"=ТО")</f>
        <v>#REF!</v>
      </c>
      <c r="K9" s="55" t="e">
        <f>COUNTIF(#REF!,"=ТО")</f>
        <v>#REF!</v>
      </c>
      <c r="L9" s="55" t="e">
        <f>COUNTIF(#REF!,"=ТО")</f>
        <v>#REF!</v>
      </c>
      <c r="M9" s="55" t="e">
        <f>COUNTIF(#REF!,"=ТО")</f>
        <v>#REF!</v>
      </c>
      <c r="N9" s="55" t="e">
        <f>COUNTIF(#REF!,"=ТО")</f>
        <v>#REF!</v>
      </c>
      <c r="O9" s="55" t="e">
        <f>COUNTIF(#REF!,"=ТО")</f>
        <v>#REF!</v>
      </c>
    </row>
    <row r="10" spans="1:15" s="40" customFormat="1" ht="15.75" customHeight="1">
      <c r="A10" s="140" t="s">
        <v>257</v>
      </c>
      <c r="B10" s="141"/>
      <c r="C10" s="56" t="s">
        <v>253</v>
      </c>
      <c r="D10" s="55" t="e">
        <f aca="true" t="shared" si="0" ref="D10:O10">D4+D6+D8</f>
        <v>#REF!</v>
      </c>
      <c r="E10" s="55" t="e">
        <f t="shared" si="0"/>
        <v>#REF!</v>
      </c>
      <c r="F10" s="55" t="e">
        <f t="shared" si="0"/>
        <v>#REF!</v>
      </c>
      <c r="G10" s="55" t="e">
        <f t="shared" si="0"/>
        <v>#REF!</v>
      </c>
      <c r="H10" s="55" t="e">
        <f t="shared" si="0"/>
        <v>#REF!</v>
      </c>
      <c r="I10" s="55" t="e">
        <f t="shared" si="0"/>
        <v>#REF!</v>
      </c>
      <c r="J10" s="55" t="e">
        <f t="shared" si="0"/>
        <v>#REF!</v>
      </c>
      <c r="K10" s="55" t="e">
        <f t="shared" si="0"/>
        <v>#REF!</v>
      </c>
      <c r="L10" s="55" t="e">
        <f t="shared" si="0"/>
        <v>#REF!</v>
      </c>
      <c r="M10" s="55" t="e">
        <f t="shared" si="0"/>
        <v>#REF!</v>
      </c>
      <c r="N10" s="55" t="e">
        <f t="shared" si="0"/>
        <v>#REF!</v>
      </c>
      <c r="O10" s="55" t="e">
        <f t="shared" si="0"/>
        <v>#REF!</v>
      </c>
    </row>
    <row r="11" spans="1:15" s="40" customFormat="1" ht="15.75" customHeight="1" thickBot="1">
      <c r="A11" s="146"/>
      <c r="B11" s="147"/>
      <c r="C11" s="57" t="s">
        <v>254</v>
      </c>
      <c r="D11" s="58" t="e">
        <f aca="true" t="shared" si="1" ref="D11:O11">D5+D7+D9</f>
        <v>#REF!</v>
      </c>
      <c r="E11" s="58" t="e">
        <f t="shared" si="1"/>
        <v>#REF!</v>
      </c>
      <c r="F11" s="58" t="e">
        <f t="shared" si="1"/>
        <v>#REF!</v>
      </c>
      <c r="G11" s="58" t="e">
        <f t="shared" si="1"/>
        <v>#REF!</v>
      </c>
      <c r="H11" s="58" t="e">
        <f t="shared" si="1"/>
        <v>#REF!</v>
      </c>
      <c r="I11" s="58" t="e">
        <f t="shared" si="1"/>
        <v>#REF!</v>
      </c>
      <c r="J11" s="58" t="e">
        <f t="shared" si="1"/>
        <v>#REF!</v>
      </c>
      <c r="K11" s="58" t="e">
        <f t="shared" si="1"/>
        <v>#REF!</v>
      </c>
      <c r="L11" s="58" t="e">
        <f t="shared" si="1"/>
        <v>#REF!</v>
      </c>
      <c r="M11" s="58" t="e">
        <f t="shared" si="1"/>
        <v>#REF!</v>
      </c>
      <c r="N11" s="58" t="e">
        <f t="shared" si="1"/>
        <v>#REF!</v>
      </c>
      <c r="O11" s="58" t="e">
        <f t="shared" si="1"/>
        <v>#REF!</v>
      </c>
    </row>
    <row r="12" spans="1:15" ht="21" customHeight="1" thickBot="1">
      <c r="A12" s="148" t="s">
        <v>366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</row>
    <row r="13" spans="1:15" s="40" customFormat="1" ht="15.75" customHeight="1">
      <c r="A13" s="138" t="s">
        <v>252</v>
      </c>
      <c r="B13" s="139"/>
      <c r="C13" s="52" t="s">
        <v>253</v>
      </c>
      <c r="D13" s="53" t="e">
        <f>SUMIF(#REF!,"=К",#REF!)+SUMIF(#REF!,"=К",#REF!)</f>
        <v>#REF!</v>
      </c>
      <c r="E13" s="53" t="e">
        <f>SUMIF(#REF!,"=К",#REF!)+SUMIF(#REF!,"=К",#REF!)</f>
        <v>#REF!</v>
      </c>
      <c r="F13" s="53" t="e">
        <f>SUMIF(#REF!,"=К",#REF!)+SUMIF(#REF!,"=К",#REF!)</f>
        <v>#REF!</v>
      </c>
      <c r="G13" s="53" t="e">
        <f>SUMIF(#REF!,"=К",#REF!)+SUMIF(#REF!,"=К",#REF!)</f>
        <v>#REF!</v>
      </c>
      <c r="H13" s="53" t="e">
        <f>SUMIF(#REF!,"=К",#REF!)+SUMIF(#REF!,"=К",#REF!)</f>
        <v>#REF!</v>
      </c>
      <c r="I13" s="53" t="e">
        <f>SUMIF(#REF!,"=К",#REF!)+SUMIF(#REF!,"=К",#REF!)</f>
        <v>#REF!</v>
      </c>
      <c r="J13" s="53" t="e">
        <f>SUMIF(#REF!,"=К",#REF!)+SUMIF(#REF!,"=К",#REF!)</f>
        <v>#REF!</v>
      </c>
      <c r="K13" s="53" t="e">
        <f>SUMIF(#REF!,"=К",#REF!)+SUMIF(#REF!,"=К",#REF!)</f>
        <v>#REF!</v>
      </c>
      <c r="L13" s="53" t="e">
        <f>SUMIF(#REF!,"=К",#REF!)+SUMIF(#REF!,"=К",#REF!)</f>
        <v>#REF!</v>
      </c>
      <c r="M13" s="53" t="e">
        <f>SUMIF(#REF!,"=К",#REF!)+SUMIF(#REF!,"=К",#REF!)</f>
        <v>#REF!</v>
      </c>
      <c r="N13" s="53" t="e">
        <f>SUMIF(#REF!,"=К",#REF!)+SUMIF(#REF!,"=К",#REF!)</f>
        <v>#REF!</v>
      </c>
      <c r="O13" s="53" t="e">
        <f>SUMIF(#REF!,"=К",#REF!)+SUMIF(#REF!,"=К",#REF!)</f>
        <v>#REF!</v>
      </c>
    </row>
    <row r="14" spans="1:15" s="40" customFormat="1" ht="15.75" customHeight="1" thickBot="1">
      <c r="A14" s="140"/>
      <c r="B14" s="141"/>
      <c r="C14" s="54" t="s">
        <v>254</v>
      </c>
      <c r="D14" s="55" t="e">
        <f>COUNTIF(#REF!,"=К")+COUNTIF(#REF!,"=К")</f>
        <v>#REF!</v>
      </c>
      <c r="E14" s="55" t="e">
        <f>COUNTIF(#REF!,"=К")+COUNTIF(#REF!,"=К")</f>
        <v>#REF!</v>
      </c>
      <c r="F14" s="55" t="e">
        <f>COUNTIF(#REF!,"=К")+COUNTIF(#REF!,"=К")</f>
        <v>#REF!</v>
      </c>
      <c r="G14" s="55" t="e">
        <f>COUNTIF(#REF!,"=К")+COUNTIF(#REF!,"=К")</f>
        <v>#REF!</v>
      </c>
      <c r="H14" s="55" t="e">
        <f>COUNTIF(#REF!,"=К")+COUNTIF(#REF!,"=К")</f>
        <v>#REF!</v>
      </c>
      <c r="I14" s="55" t="e">
        <f>COUNTIF(#REF!,"=К")+COUNTIF(#REF!,"=К")</f>
        <v>#REF!</v>
      </c>
      <c r="J14" s="55" t="e">
        <f>COUNTIF(#REF!,"=К")+COUNTIF(#REF!,"=К")</f>
        <v>#REF!</v>
      </c>
      <c r="K14" s="55" t="e">
        <f>COUNTIF(#REF!,"=К")+COUNTIF(#REF!,"=К")</f>
        <v>#REF!</v>
      </c>
      <c r="L14" s="55" t="e">
        <f>COUNTIF(#REF!,"=К")+COUNTIF(#REF!,"=К")</f>
        <v>#REF!</v>
      </c>
      <c r="M14" s="55" t="e">
        <f>COUNTIF(#REF!,"=К")+COUNTIF(#REF!,"=К")</f>
        <v>#REF!</v>
      </c>
      <c r="N14" s="55" t="e">
        <f>COUNTIF(#REF!,"=К")+COUNTIF(#REF!,"=К")</f>
        <v>#REF!</v>
      </c>
      <c r="O14" s="55" t="e">
        <f>COUNTIF(#REF!,"=К")+COUNTIF(#REF!,"=К")</f>
        <v>#REF!</v>
      </c>
    </row>
    <row r="15" spans="1:15" s="40" customFormat="1" ht="15.75" customHeight="1">
      <c r="A15" s="142" t="s">
        <v>255</v>
      </c>
      <c r="B15" s="143"/>
      <c r="C15" s="56" t="s">
        <v>253</v>
      </c>
      <c r="D15" s="53" t="e">
        <f>SUMIF(#REF!,"=Т",#REF!)+SUMIF(#REF!,"=Т",#REF!)</f>
        <v>#REF!</v>
      </c>
      <c r="E15" s="53" t="e">
        <f>SUMIF(#REF!,"=Т",#REF!)+SUMIF(#REF!,"=Т",#REF!)</f>
        <v>#REF!</v>
      </c>
      <c r="F15" s="53" t="e">
        <f>SUMIF(#REF!,"=Т",#REF!)+SUMIF(#REF!,"=Т",#REF!)</f>
        <v>#REF!</v>
      </c>
      <c r="G15" s="53" t="e">
        <f>SUMIF(#REF!,"=Т",#REF!)+SUMIF(#REF!,"=Т",#REF!)</f>
        <v>#REF!</v>
      </c>
      <c r="H15" s="53" t="e">
        <f>SUMIF(#REF!,"=Т",#REF!)+SUMIF(#REF!,"=Т",#REF!)</f>
        <v>#REF!</v>
      </c>
      <c r="I15" s="53" t="e">
        <f>SUMIF(#REF!,"=Т",#REF!)+SUMIF(#REF!,"=Т",#REF!)</f>
        <v>#REF!</v>
      </c>
      <c r="J15" s="53" t="e">
        <f>SUMIF(#REF!,"=Т",#REF!)+SUMIF(#REF!,"=Т",#REF!)</f>
        <v>#REF!</v>
      </c>
      <c r="K15" s="53" t="e">
        <f>SUMIF(#REF!,"=Т",#REF!)+SUMIF(#REF!,"=Т",#REF!)</f>
        <v>#REF!</v>
      </c>
      <c r="L15" s="53" t="e">
        <f>SUMIF(#REF!,"=Т",#REF!)+SUMIF(#REF!,"=Т",#REF!)</f>
        <v>#REF!</v>
      </c>
      <c r="M15" s="53" t="e">
        <f>SUMIF(#REF!,"=Т",#REF!)+SUMIF(#REF!,"=Т",#REF!)</f>
        <v>#REF!</v>
      </c>
      <c r="N15" s="53" t="e">
        <f>SUMIF(#REF!,"=Т",#REF!)+SUMIF(#REF!,"=Т",#REF!)</f>
        <v>#REF!</v>
      </c>
      <c r="O15" s="53" t="e">
        <f>SUMIF(#REF!,"=Т",#REF!)+SUMIF(#REF!,"=Т",#REF!)</f>
        <v>#REF!</v>
      </c>
    </row>
    <row r="16" spans="1:15" s="40" customFormat="1" ht="15.75" customHeight="1" thickBot="1">
      <c r="A16" s="142"/>
      <c r="B16" s="143"/>
      <c r="C16" s="54" t="s">
        <v>254</v>
      </c>
      <c r="D16" s="55" t="e">
        <f>COUNTIF(#REF!,"=Т")+COUNTIF(#REF!,"=Т")</f>
        <v>#REF!</v>
      </c>
      <c r="E16" s="55" t="e">
        <f>COUNTIF(#REF!,"=Т")+COUNTIF(#REF!,"=Т")</f>
        <v>#REF!</v>
      </c>
      <c r="F16" s="55" t="e">
        <f>COUNTIF(#REF!,"=Т")+COUNTIF(#REF!,"=Т")</f>
        <v>#REF!</v>
      </c>
      <c r="G16" s="55" t="e">
        <f>COUNTIF(#REF!,"=Т")+COUNTIF(#REF!,"=Т")</f>
        <v>#REF!</v>
      </c>
      <c r="H16" s="55" t="e">
        <f>COUNTIF(#REF!,"=Т")+COUNTIF(#REF!,"=Т")</f>
        <v>#REF!</v>
      </c>
      <c r="I16" s="55" t="e">
        <f>COUNTIF(#REF!,"=Т")+COUNTIF(#REF!,"=Т")</f>
        <v>#REF!</v>
      </c>
      <c r="J16" s="55" t="e">
        <f>COUNTIF(#REF!,"=Т")+COUNTIF(#REF!,"=Т")</f>
        <v>#REF!</v>
      </c>
      <c r="K16" s="55" t="e">
        <f>COUNTIF(#REF!,"=Т")+COUNTIF(#REF!,"=Т")</f>
        <v>#REF!</v>
      </c>
      <c r="L16" s="55" t="e">
        <f>COUNTIF(#REF!,"=Т")+COUNTIF(#REF!,"=Т")</f>
        <v>#REF!</v>
      </c>
      <c r="M16" s="55" t="e">
        <f>COUNTIF(#REF!,"=Т")+COUNTIF(#REF!,"=Т")</f>
        <v>#REF!</v>
      </c>
      <c r="N16" s="55" t="e">
        <f>COUNTIF(#REF!,"=Т")+COUNTIF(#REF!,"=Т")</f>
        <v>#REF!</v>
      </c>
      <c r="O16" s="55" t="e">
        <f>COUNTIF(#REF!,"=Т")+COUNTIF(#REF!,"=Т")</f>
        <v>#REF!</v>
      </c>
    </row>
    <row r="17" spans="1:15" s="40" customFormat="1" ht="15.75" customHeight="1">
      <c r="A17" s="157" t="s">
        <v>256</v>
      </c>
      <c r="B17" s="158"/>
      <c r="C17" s="56" t="s">
        <v>253</v>
      </c>
      <c r="D17" s="53" t="e">
        <f>(SUMIF(#REF!,"=ТО",#REF!))*0.1+(SUMIF(#REF!,"=ТО",#REF!))*0.1</f>
        <v>#REF!</v>
      </c>
      <c r="E17" s="53" t="e">
        <f>(SUMIF(#REF!,"=ТО",#REF!))*0.1+(SUMIF(#REF!,"=ТО",#REF!))*0.1</f>
        <v>#REF!</v>
      </c>
      <c r="F17" s="53" t="e">
        <f>(SUMIF(#REF!,"=ТО",#REF!))*0.1+(SUMIF(#REF!,"=ТО",#REF!))*0.1</f>
        <v>#REF!</v>
      </c>
      <c r="G17" s="53" t="e">
        <f>(SUMIF(#REF!,"=ТО",#REF!))*0.1+(SUMIF(#REF!,"=ТО",#REF!))*0.1</f>
        <v>#REF!</v>
      </c>
      <c r="H17" s="53" t="e">
        <f>(SUMIF(#REF!,"=ТО",#REF!))*0.1+(SUMIF(#REF!,"=ТО",#REF!))*0.1</f>
        <v>#REF!</v>
      </c>
      <c r="I17" s="53" t="e">
        <f>(SUMIF(#REF!,"=ТО",#REF!))*0.1+(SUMIF(#REF!,"=ТО",#REF!))*0.1</f>
        <v>#REF!</v>
      </c>
      <c r="J17" s="53" t="e">
        <f>(SUMIF(#REF!,"=ТО",#REF!))*0.1+(SUMIF(#REF!,"=ТО",#REF!))*0.1</f>
        <v>#REF!</v>
      </c>
      <c r="K17" s="53" t="e">
        <f>(SUMIF(#REF!,"=ТО",#REF!))*0.1+(SUMIF(#REF!,"=ТО",#REF!))*0.1</f>
        <v>#REF!</v>
      </c>
      <c r="L17" s="53" t="e">
        <f>(SUMIF(#REF!,"=ТО",#REF!))*0.1+(SUMIF(#REF!,"=ТО",#REF!))*0.1</f>
        <v>#REF!</v>
      </c>
      <c r="M17" s="53" t="e">
        <f>(SUMIF(#REF!,"=ТО",#REF!))*0.1+(SUMIF(#REF!,"=ТО",#REF!))*0.1</f>
        <v>#REF!</v>
      </c>
      <c r="N17" s="53" t="e">
        <f>(SUMIF(#REF!,"=ТО",#REF!))*0.1+(SUMIF(#REF!,"=ТО",#REF!))*0.1</f>
        <v>#REF!</v>
      </c>
      <c r="O17" s="53" t="e">
        <f>(SUMIF(#REF!,"=ТО",#REF!))*0.1+(SUMIF(#REF!,"=ТО",#REF!))*0.1</f>
        <v>#REF!</v>
      </c>
    </row>
    <row r="18" spans="1:15" s="40" customFormat="1" ht="15.75" customHeight="1">
      <c r="A18" s="144"/>
      <c r="B18" s="145"/>
      <c r="C18" s="54" t="s">
        <v>254</v>
      </c>
      <c r="D18" s="55" t="e">
        <f>COUNTIF(#REF!,"=ТО")+COUNTIF(#REF!,"=ТО")</f>
        <v>#REF!</v>
      </c>
      <c r="E18" s="55" t="e">
        <f>COUNTIF(#REF!,"=ТО")+COUNTIF(#REF!,"=ТО")</f>
        <v>#REF!</v>
      </c>
      <c r="F18" s="55" t="e">
        <f>COUNTIF(#REF!,"=ТО")+COUNTIF(#REF!,"=ТО")</f>
        <v>#REF!</v>
      </c>
      <c r="G18" s="55" t="e">
        <f>COUNTIF(#REF!,"=ТО")+COUNTIF(#REF!,"=ТО")</f>
        <v>#REF!</v>
      </c>
      <c r="H18" s="55" t="e">
        <f>COUNTIF(#REF!,"=ТО")+COUNTIF(#REF!,"=ТО")</f>
        <v>#REF!</v>
      </c>
      <c r="I18" s="55" t="e">
        <f>COUNTIF(#REF!,"=ТО")+COUNTIF(#REF!,"=ТО")</f>
        <v>#REF!</v>
      </c>
      <c r="J18" s="55" t="e">
        <f>COUNTIF(#REF!,"=ТО")+COUNTIF(#REF!,"=ТО")</f>
        <v>#REF!</v>
      </c>
      <c r="K18" s="55" t="e">
        <f>COUNTIF(#REF!,"=ТО")+COUNTIF(#REF!,"=ТО")</f>
        <v>#REF!</v>
      </c>
      <c r="L18" s="55" t="e">
        <f>COUNTIF(#REF!,"=ТО")+COUNTIF(#REF!,"=ТО")</f>
        <v>#REF!</v>
      </c>
      <c r="M18" s="55" t="e">
        <f>COUNTIF(#REF!,"=ТО")+COUNTIF(#REF!,"=ТО")</f>
        <v>#REF!</v>
      </c>
      <c r="N18" s="55" t="e">
        <f>COUNTIF(#REF!,"=ТО")+COUNTIF(#REF!,"=ТО")</f>
        <v>#REF!</v>
      </c>
      <c r="O18" s="55" t="e">
        <f>COUNTIF(#REF!,"=ТО")+COUNTIF(#REF!,"=ТО")</f>
        <v>#REF!</v>
      </c>
    </row>
    <row r="19" spans="1:15" s="40" customFormat="1" ht="15.75" customHeight="1">
      <c r="A19" s="140" t="s">
        <v>257</v>
      </c>
      <c r="B19" s="141"/>
      <c r="C19" s="56" t="s">
        <v>253</v>
      </c>
      <c r="D19" s="55" t="e">
        <f aca="true" t="shared" si="2" ref="D19:O19">D13+D15+D17</f>
        <v>#REF!</v>
      </c>
      <c r="E19" s="55" t="e">
        <f t="shared" si="2"/>
        <v>#REF!</v>
      </c>
      <c r="F19" s="55" t="e">
        <f t="shared" si="2"/>
        <v>#REF!</v>
      </c>
      <c r="G19" s="55" t="e">
        <f t="shared" si="2"/>
        <v>#REF!</v>
      </c>
      <c r="H19" s="55" t="e">
        <f t="shared" si="2"/>
        <v>#REF!</v>
      </c>
      <c r="I19" s="55" t="e">
        <f t="shared" si="2"/>
        <v>#REF!</v>
      </c>
      <c r="J19" s="55" t="e">
        <f t="shared" si="2"/>
        <v>#REF!</v>
      </c>
      <c r="K19" s="55" t="e">
        <f t="shared" si="2"/>
        <v>#REF!</v>
      </c>
      <c r="L19" s="55" t="e">
        <f t="shared" si="2"/>
        <v>#REF!</v>
      </c>
      <c r="M19" s="55" t="e">
        <f t="shared" si="2"/>
        <v>#REF!</v>
      </c>
      <c r="N19" s="55" t="e">
        <f t="shared" si="2"/>
        <v>#REF!</v>
      </c>
      <c r="O19" s="55" t="e">
        <f t="shared" si="2"/>
        <v>#REF!</v>
      </c>
    </row>
    <row r="20" spans="1:15" s="40" customFormat="1" ht="15.75" customHeight="1" thickBot="1">
      <c r="A20" s="146"/>
      <c r="B20" s="147"/>
      <c r="C20" s="57" t="s">
        <v>254</v>
      </c>
      <c r="D20" s="58" t="e">
        <f aca="true" t="shared" si="3" ref="D20:O20">D14+D16+D18</f>
        <v>#REF!</v>
      </c>
      <c r="E20" s="58" t="e">
        <f t="shared" si="3"/>
        <v>#REF!</v>
      </c>
      <c r="F20" s="58" t="e">
        <f t="shared" si="3"/>
        <v>#REF!</v>
      </c>
      <c r="G20" s="58" t="e">
        <f t="shared" si="3"/>
        <v>#REF!</v>
      </c>
      <c r="H20" s="58" t="e">
        <f t="shared" si="3"/>
        <v>#REF!</v>
      </c>
      <c r="I20" s="58" t="e">
        <f t="shared" si="3"/>
        <v>#REF!</v>
      </c>
      <c r="J20" s="58" t="e">
        <f t="shared" si="3"/>
        <v>#REF!</v>
      </c>
      <c r="K20" s="58" t="e">
        <f t="shared" si="3"/>
        <v>#REF!</v>
      </c>
      <c r="L20" s="58" t="e">
        <f t="shared" si="3"/>
        <v>#REF!</v>
      </c>
      <c r="M20" s="58" t="e">
        <f t="shared" si="3"/>
        <v>#REF!</v>
      </c>
      <c r="N20" s="58" t="e">
        <f t="shared" si="3"/>
        <v>#REF!</v>
      </c>
      <c r="O20" s="58" t="e">
        <f t="shared" si="3"/>
        <v>#REF!</v>
      </c>
    </row>
    <row r="21" spans="1:15" ht="21" customHeight="1" thickBot="1">
      <c r="A21" s="148" t="s">
        <v>258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50"/>
    </row>
    <row r="22" spans="1:15" s="40" customFormat="1" ht="15.75" customHeight="1">
      <c r="A22" s="138" t="s">
        <v>252</v>
      </c>
      <c r="B22" s="139"/>
      <c r="C22" s="52" t="s">
        <v>253</v>
      </c>
      <c r="D22" s="53" t="e">
        <f>SUMIF(#REF!,"=К",#REF!)</f>
        <v>#REF!</v>
      </c>
      <c r="E22" s="53" t="e">
        <f>SUMIF(#REF!,"=К",#REF!)</f>
        <v>#REF!</v>
      </c>
      <c r="F22" s="53" t="e">
        <f>SUMIF(#REF!,"=К",#REF!)</f>
        <v>#REF!</v>
      </c>
      <c r="G22" s="53" t="e">
        <f>SUMIF(#REF!,"=К",#REF!)</f>
        <v>#REF!</v>
      </c>
      <c r="H22" s="53" t="e">
        <f>SUMIF(#REF!,"=К",#REF!)</f>
        <v>#REF!</v>
      </c>
      <c r="I22" s="53" t="e">
        <f>SUMIF(#REF!,"=К",#REF!)</f>
        <v>#REF!</v>
      </c>
      <c r="J22" s="53" t="e">
        <f>SUMIF(#REF!,"=К",#REF!)</f>
        <v>#REF!</v>
      </c>
      <c r="K22" s="53" t="e">
        <f>SUMIF(#REF!,"=К",#REF!)</f>
        <v>#REF!</v>
      </c>
      <c r="L22" s="53" t="e">
        <f>SUMIF(#REF!,"=К",#REF!)</f>
        <v>#REF!</v>
      </c>
      <c r="M22" s="53" t="e">
        <f>SUMIF(#REF!,"=К",#REF!)</f>
        <v>#REF!</v>
      </c>
      <c r="N22" s="53" t="e">
        <f>SUMIF(#REF!,"=К",#REF!)</f>
        <v>#REF!</v>
      </c>
      <c r="O22" s="53" t="e">
        <f>SUMIF(#REF!,"=К",#REF!)</f>
        <v>#REF!</v>
      </c>
    </row>
    <row r="23" spans="1:15" s="40" customFormat="1" ht="15.75" customHeight="1">
      <c r="A23" s="140"/>
      <c r="B23" s="141"/>
      <c r="C23" s="54" t="s">
        <v>254</v>
      </c>
      <c r="D23" s="55" t="e">
        <f>COUNTIF(#REF!,"=К")</f>
        <v>#REF!</v>
      </c>
      <c r="E23" s="55" t="e">
        <f>COUNTIF(#REF!,"=К")</f>
        <v>#REF!</v>
      </c>
      <c r="F23" s="55" t="e">
        <f>COUNTIF(#REF!,"=К")</f>
        <v>#REF!</v>
      </c>
      <c r="G23" s="55" t="e">
        <f>COUNTIF(#REF!,"=К")</f>
        <v>#REF!</v>
      </c>
      <c r="H23" s="55" t="e">
        <f>COUNTIF(#REF!,"=К")</f>
        <v>#REF!</v>
      </c>
      <c r="I23" s="55" t="e">
        <f>COUNTIF(#REF!,"=К")</f>
        <v>#REF!</v>
      </c>
      <c r="J23" s="55" t="e">
        <f>COUNTIF(#REF!,"=К")</f>
        <v>#REF!</v>
      </c>
      <c r="K23" s="55" t="e">
        <f>COUNTIF(#REF!,"=К")</f>
        <v>#REF!</v>
      </c>
      <c r="L23" s="55" t="e">
        <f>COUNTIF(#REF!,"=К")</f>
        <v>#REF!</v>
      </c>
      <c r="M23" s="55" t="e">
        <f>COUNTIF(#REF!,"=К")</f>
        <v>#REF!</v>
      </c>
      <c r="N23" s="55" t="e">
        <f>COUNTIF(#REF!,"=К")</f>
        <v>#REF!</v>
      </c>
      <c r="O23" s="55" t="e">
        <f>COUNTIF(#REF!,"=К")</f>
        <v>#REF!</v>
      </c>
    </row>
    <row r="24" spans="1:15" s="40" customFormat="1" ht="15.75" customHeight="1">
      <c r="A24" s="142" t="s">
        <v>255</v>
      </c>
      <c r="B24" s="143"/>
      <c r="C24" s="56" t="s">
        <v>253</v>
      </c>
      <c r="D24" s="55" t="e">
        <f>SUMIF(#REF!,"=Т",#REF!)</f>
        <v>#REF!</v>
      </c>
      <c r="E24" s="55" t="e">
        <f>SUMIF(#REF!,"=Т",#REF!)</f>
        <v>#REF!</v>
      </c>
      <c r="F24" s="55" t="e">
        <f>SUMIF(#REF!,"=Т",#REF!)</f>
        <v>#REF!</v>
      </c>
      <c r="G24" s="55" t="e">
        <f>SUMIF(#REF!,"=Т",#REF!)</f>
        <v>#REF!</v>
      </c>
      <c r="H24" s="55" t="e">
        <f>SUMIF(#REF!,"=Т",#REF!)</f>
        <v>#REF!</v>
      </c>
      <c r="I24" s="55" t="e">
        <f>SUMIF(#REF!,"=Т",#REF!)</f>
        <v>#REF!</v>
      </c>
      <c r="J24" s="55" t="e">
        <f>SUMIF(#REF!,"=Т",#REF!)</f>
        <v>#REF!</v>
      </c>
      <c r="K24" s="55" t="e">
        <f>SUMIF(#REF!,"=Т",#REF!)</f>
        <v>#REF!</v>
      </c>
      <c r="L24" s="55" t="e">
        <f>SUMIF(#REF!,"=Т",#REF!)</f>
        <v>#REF!</v>
      </c>
      <c r="M24" s="55" t="e">
        <f>SUMIF(#REF!,"=Т",#REF!)</f>
        <v>#REF!</v>
      </c>
      <c r="N24" s="55" t="e">
        <f>SUMIF(#REF!,"=Т",#REF!)</f>
        <v>#REF!</v>
      </c>
      <c r="O24" s="55" t="e">
        <f>SUMIF(#REF!,"=Т",#REF!)</f>
        <v>#REF!</v>
      </c>
    </row>
    <row r="25" spans="1:15" s="40" customFormat="1" ht="15.75" customHeight="1">
      <c r="A25" s="142"/>
      <c r="B25" s="143"/>
      <c r="C25" s="54" t="s">
        <v>254</v>
      </c>
      <c r="D25" s="55" t="e">
        <f>COUNTIF(#REF!,"=Т")</f>
        <v>#REF!</v>
      </c>
      <c r="E25" s="55" t="e">
        <f>COUNTIF(#REF!,"=Т")</f>
        <v>#REF!</v>
      </c>
      <c r="F25" s="55" t="e">
        <f>COUNTIF(#REF!,"=Т")</f>
        <v>#REF!</v>
      </c>
      <c r="G25" s="55" t="e">
        <f>COUNTIF(#REF!,"=Т")</f>
        <v>#REF!</v>
      </c>
      <c r="H25" s="55" t="e">
        <f>COUNTIF(#REF!,"=Т")</f>
        <v>#REF!</v>
      </c>
      <c r="I25" s="55" t="e">
        <f>COUNTIF(#REF!,"=Т")</f>
        <v>#REF!</v>
      </c>
      <c r="J25" s="55" t="e">
        <f>COUNTIF(#REF!,"=Т")</f>
        <v>#REF!</v>
      </c>
      <c r="K25" s="55" t="e">
        <f>COUNTIF(#REF!,"=Т")</f>
        <v>#REF!</v>
      </c>
      <c r="L25" s="55" t="e">
        <f>COUNTIF(#REF!,"=Т")</f>
        <v>#REF!</v>
      </c>
      <c r="M25" s="55" t="e">
        <f>COUNTIF(#REF!,"=Т")</f>
        <v>#REF!</v>
      </c>
      <c r="N25" s="55" t="e">
        <f>COUNTIF(#REF!,"=Т")</f>
        <v>#REF!</v>
      </c>
      <c r="O25" s="55" t="e">
        <f>COUNTIF(#REF!,"=Т")</f>
        <v>#REF!</v>
      </c>
    </row>
    <row r="26" spans="1:15" s="40" customFormat="1" ht="15.75" customHeight="1">
      <c r="A26" s="157" t="s">
        <v>256</v>
      </c>
      <c r="B26" s="158"/>
      <c r="C26" s="56" t="s">
        <v>253</v>
      </c>
      <c r="D26" s="55" t="e">
        <f>SUMIF(#REF!,"=ТО",#REF!)*0.1</f>
        <v>#REF!</v>
      </c>
      <c r="E26" s="55" t="e">
        <f>SUMIF(#REF!,"=ТО",#REF!)*0.1</f>
        <v>#REF!</v>
      </c>
      <c r="F26" s="55" t="e">
        <f>SUMIF(#REF!,"=ТО",#REF!)*0.1</f>
        <v>#REF!</v>
      </c>
      <c r="G26" s="55" t="e">
        <f>SUMIF(#REF!,"=ТО",#REF!)*0.1</f>
        <v>#REF!</v>
      </c>
      <c r="H26" s="55" t="e">
        <f>SUMIF(#REF!,"=ТО",#REF!)*0.1</f>
        <v>#REF!</v>
      </c>
      <c r="I26" s="55" t="e">
        <f>SUMIF(#REF!,"=ТО",#REF!)*0.1</f>
        <v>#REF!</v>
      </c>
      <c r="J26" s="55" t="e">
        <f>SUMIF(#REF!,"=ТО",#REF!)*0.1</f>
        <v>#REF!</v>
      </c>
      <c r="K26" s="55" t="e">
        <f>SUMIF(#REF!,"=ТО",#REF!)*0.1</f>
        <v>#REF!</v>
      </c>
      <c r="L26" s="55" t="e">
        <f>SUMIF(#REF!,"=ТО",#REF!)*0.1</f>
        <v>#REF!</v>
      </c>
      <c r="M26" s="55" t="e">
        <f>SUMIF(#REF!,"=ТО",#REF!)*0.1</f>
        <v>#REF!</v>
      </c>
      <c r="N26" s="55" t="e">
        <f>SUMIF(#REF!,"=ТО",#REF!)*0.1</f>
        <v>#REF!</v>
      </c>
      <c r="O26" s="55" t="e">
        <f>SUMIF(#REF!,"=ТО",#REF!)*0.1</f>
        <v>#REF!</v>
      </c>
    </row>
    <row r="27" spans="1:15" s="40" customFormat="1" ht="15.75" customHeight="1">
      <c r="A27" s="144"/>
      <c r="B27" s="145"/>
      <c r="C27" s="54" t="s">
        <v>254</v>
      </c>
      <c r="D27" s="55" t="e">
        <f>COUNTIF(#REF!,"=ТО")</f>
        <v>#REF!</v>
      </c>
      <c r="E27" s="55" t="e">
        <f>COUNTIF(#REF!,"=ТО")</f>
        <v>#REF!</v>
      </c>
      <c r="F27" s="55" t="e">
        <f>COUNTIF(#REF!,"=ТО")</f>
        <v>#REF!</v>
      </c>
      <c r="G27" s="55" t="e">
        <f>COUNTIF(#REF!,"=ТО")</f>
        <v>#REF!</v>
      </c>
      <c r="H27" s="55" t="e">
        <f>COUNTIF(#REF!,"=ТО")</f>
        <v>#REF!</v>
      </c>
      <c r="I27" s="55" t="e">
        <f>COUNTIF(#REF!,"=ТО")</f>
        <v>#REF!</v>
      </c>
      <c r="J27" s="55" t="e">
        <f>COUNTIF(#REF!,"=ТО")</f>
        <v>#REF!</v>
      </c>
      <c r="K27" s="55" t="e">
        <f>COUNTIF(#REF!,"=ТО")</f>
        <v>#REF!</v>
      </c>
      <c r="L27" s="55" t="e">
        <f>COUNTIF(#REF!,"=ТО")</f>
        <v>#REF!</v>
      </c>
      <c r="M27" s="55" t="e">
        <f>COUNTIF(#REF!,"=ТО")</f>
        <v>#REF!</v>
      </c>
      <c r="N27" s="55" t="e">
        <f>COUNTIF(#REF!,"=ТО")</f>
        <v>#REF!</v>
      </c>
      <c r="O27" s="55" t="e">
        <f>COUNTIF(#REF!,"=ТО")</f>
        <v>#REF!</v>
      </c>
    </row>
    <row r="28" spans="1:15" s="40" customFormat="1" ht="15.75" customHeight="1">
      <c r="A28" s="140" t="s">
        <v>257</v>
      </c>
      <c r="B28" s="141"/>
      <c r="C28" s="56" t="s">
        <v>253</v>
      </c>
      <c r="D28" s="55" t="e">
        <f aca="true" t="shared" si="4" ref="D28:O28">D22+D24+D26</f>
        <v>#REF!</v>
      </c>
      <c r="E28" s="55" t="e">
        <f t="shared" si="4"/>
        <v>#REF!</v>
      </c>
      <c r="F28" s="55" t="e">
        <f t="shared" si="4"/>
        <v>#REF!</v>
      </c>
      <c r="G28" s="55" t="e">
        <f t="shared" si="4"/>
        <v>#REF!</v>
      </c>
      <c r="H28" s="55" t="e">
        <f t="shared" si="4"/>
        <v>#REF!</v>
      </c>
      <c r="I28" s="55" t="e">
        <f t="shared" si="4"/>
        <v>#REF!</v>
      </c>
      <c r="J28" s="55" t="e">
        <f t="shared" si="4"/>
        <v>#REF!</v>
      </c>
      <c r="K28" s="55" t="e">
        <f t="shared" si="4"/>
        <v>#REF!</v>
      </c>
      <c r="L28" s="55" t="e">
        <f t="shared" si="4"/>
        <v>#REF!</v>
      </c>
      <c r="M28" s="55" t="e">
        <f t="shared" si="4"/>
        <v>#REF!</v>
      </c>
      <c r="N28" s="55" t="e">
        <f t="shared" si="4"/>
        <v>#REF!</v>
      </c>
      <c r="O28" s="55" t="e">
        <f t="shared" si="4"/>
        <v>#REF!</v>
      </c>
    </row>
    <row r="29" spans="1:15" s="40" customFormat="1" ht="15.75" customHeight="1" thickBot="1">
      <c r="A29" s="146"/>
      <c r="B29" s="147"/>
      <c r="C29" s="57" t="s">
        <v>254</v>
      </c>
      <c r="D29" s="58" t="e">
        <f aca="true" t="shared" si="5" ref="D29:O29">D23+D25+D27</f>
        <v>#REF!</v>
      </c>
      <c r="E29" s="58" t="e">
        <f t="shared" si="5"/>
        <v>#REF!</v>
      </c>
      <c r="F29" s="58" t="e">
        <f t="shared" si="5"/>
        <v>#REF!</v>
      </c>
      <c r="G29" s="58" t="e">
        <f t="shared" si="5"/>
        <v>#REF!</v>
      </c>
      <c r="H29" s="58" t="e">
        <f t="shared" si="5"/>
        <v>#REF!</v>
      </c>
      <c r="I29" s="58" t="e">
        <f t="shared" si="5"/>
        <v>#REF!</v>
      </c>
      <c r="J29" s="58" t="e">
        <f t="shared" si="5"/>
        <v>#REF!</v>
      </c>
      <c r="K29" s="58" t="e">
        <f t="shared" si="5"/>
        <v>#REF!</v>
      </c>
      <c r="L29" s="58" t="e">
        <f t="shared" si="5"/>
        <v>#REF!</v>
      </c>
      <c r="M29" s="58" t="e">
        <f t="shared" si="5"/>
        <v>#REF!</v>
      </c>
      <c r="N29" s="58" t="e">
        <f t="shared" si="5"/>
        <v>#REF!</v>
      </c>
      <c r="O29" s="58" t="e">
        <f t="shared" si="5"/>
        <v>#REF!</v>
      </c>
    </row>
    <row r="30" spans="1:15" ht="21" customHeight="1" thickBot="1">
      <c r="A30" s="148" t="s">
        <v>367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50"/>
    </row>
    <row r="31" spans="1:15" s="40" customFormat="1" ht="15.75" customHeight="1">
      <c r="A31" s="138" t="s">
        <v>252</v>
      </c>
      <c r="B31" s="139"/>
      <c r="C31" s="52" t="s">
        <v>253</v>
      </c>
      <c r="D31" s="53" t="e">
        <f>SUMIF(#REF!,"=К",#REF!)+SUMIF(#REF!,"=К",#REF!)</f>
        <v>#REF!</v>
      </c>
      <c r="E31" s="53" t="e">
        <f>SUMIF(#REF!,"=К",#REF!)+SUMIF(#REF!,"=К",#REF!)</f>
        <v>#REF!</v>
      </c>
      <c r="F31" s="53" t="e">
        <f>SUMIF(#REF!,"=К",#REF!)+SUMIF(#REF!,"=К",#REF!)</f>
        <v>#REF!</v>
      </c>
      <c r="G31" s="53" t="e">
        <f>SUMIF(#REF!,"=К",#REF!)+SUMIF(#REF!,"=К",#REF!)</f>
        <v>#REF!</v>
      </c>
      <c r="H31" s="53" t="e">
        <f>SUMIF(#REF!,"=К",#REF!)+SUMIF(#REF!,"=К",#REF!)</f>
        <v>#REF!</v>
      </c>
      <c r="I31" s="53" t="e">
        <f>SUMIF(#REF!,"=К",#REF!)+SUMIF(#REF!,"=К",#REF!)</f>
        <v>#REF!</v>
      </c>
      <c r="J31" s="53" t="e">
        <f>SUMIF(#REF!,"=К",#REF!)+SUMIF(#REF!,"=К",#REF!)</f>
        <v>#REF!</v>
      </c>
      <c r="K31" s="53" t="e">
        <f>SUMIF(#REF!,"=К",#REF!)+SUMIF(#REF!,"=К",#REF!)</f>
        <v>#REF!</v>
      </c>
      <c r="L31" s="53" t="e">
        <f>SUMIF(#REF!,"=К",#REF!)+SUMIF(#REF!,"=К",#REF!)</f>
        <v>#REF!</v>
      </c>
      <c r="M31" s="53" t="e">
        <f>SUMIF(#REF!,"=К",#REF!)+SUMIF(#REF!,"=К",#REF!)</f>
        <v>#REF!</v>
      </c>
      <c r="N31" s="53" t="e">
        <f>SUMIF(#REF!,"=К",#REF!)+SUMIF(#REF!,"=К",#REF!)</f>
        <v>#REF!</v>
      </c>
      <c r="O31" s="53" t="e">
        <f>SUMIF(#REF!,"=К",#REF!)+SUMIF(#REF!,"=К",#REF!)</f>
        <v>#REF!</v>
      </c>
    </row>
    <row r="32" spans="1:15" s="40" customFormat="1" ht="15.75" customHeight="1">
      <c r="A32" s="140"/>
      <c r="B32" s="141"/>
      <c r="C32" s="54" t="s">
        <v>254</v>
      </c>
      <c r="D32" s="62" t="e">
        <f>COUNTIF(#REF!,"=К")+COUNTIF(#REF!,"=К")</f>
        <v>#REF!</v>
      </c>
      <c r="E32" s="62" t="e">
        <f>COUNTIF(#REF!,"=К")+COUNTIF(#REF!,"=К")</f>
        <v>#REF!</v>
      </c>
      <c r="F32" s="62" t="e">
        <f>COUNTIF(#REF!,"=К")+COUNTIF(#REF!,"=К")</f>
        <v>#REF!</v>
      </c>
      <c r="G32" s="62" t="e">
        <f>COUNTIF(#REF!,"=К")+COUNTIF(#REF!,"=К")</f>
        <v>#REF!</v>
      </c>
      <c r="H32" s="62" t="e">
        <f>COUNTIF(#REF!,"=К")+COUNTIF(#REF!,"=К")</f>
        <v>#REF!</v>
      </c>
      <c r="I32" s="62" t="e">
        <f>COUNTIF(#REF!,"=К")+COUNTIF(#REF!,"=К")</f>
        <v>#REF!</v>
      </c>
      <c r="J32" s="62" t="e">
        <f>COUNTIF(#REF!,"=К")+COUNTIF(#REF!,"=К")</f>
        <v>#REF!</v>
      </c>
      <c r="K32" s="62" t="e">
        <f>COUNTIF(#REF!,"=К")+COUNTIF(#REF!,"=К")</f>
        <v>#REF!</v>
      </c>
      <c r="L32" s="62" t="e">
        <f>COUNTIF(#REF!,"=К")+COUNTIF(#REF!,"=К")</f>
        <v>#REF!</v>
      </c>
      <c r="M32" s="62" t="e">
        <f>COUNTIF(#REF!,"=К")+COUNTIF(#REF!,"=К")</f>
        <v>#REF!</v>
      </c>
      <c r="N32" s="62" t="e">
        <f>COUNTIF(#REF!,"=К")+COUNTIF(#REF!,"=К")</f>
        <v>#REF!</v>
      </c>
      <c r="O32" s="62" t="e">
        <f>COUNTIF(#REF!,"=К")+COUNTIF(#REF!,"=К")</f>
        <v>#REF!</v>
      </c>
    </row>
    <row r="33" spans="1:15" s="40" customFormat="1" ht="15.75" customHeight="1">
      <c r="A33" s="142" t="s">
        <v>255</v>
      </c>
      <c r="B33" s="143"/>
      <c r="C33" s="56" t="s">
        <v>253</v>
      </c>
      <c r="D33" s="55" t="e">
        <f>SUMIF(#REF!,"=Т",#REF!)+SUMIF(#REF!,"=Т",#REF!)</f>
        <v>#REF!</v>
      </c>
      <c r="E33" s="55" t="e">
        <f>SUMIF(#REF!,"=Т",#REF!)+SUMIF(#REF!,"=Т",#REF!)</f>
        <v>#REF!</v>
      </c>
      <c r="F33" s="55" t="e">
        <f>SUMIF(#REF!,"=Т",#REF!)+SUMIF(#REF!,"=Т",#REF!)</f>
        <v>#REF!</v>
      </c>
      <c r="G33" s="55" t="e">
        <f>SUMIF(#REF!,"=Т",#REF!)+SUMIF(#REF!,"=Т",#REF!)</f>
        <v>#REF!</v>
      </c>
      <c r="H33" s="55" t="e">
        <f>SUMIF(#REF!,"=Т",#REF!)+SUMIF(#REF!,"=Т",#REF!)</f>
        <v>#REF!</v>
      </c>
      <c r="I33" s="55" t="e">
        <f>SUMIF(#REF!,"=Т",#REF!)+SUMIF(#REF!,"=Т",#REF!)</f>
        <v>#REF!</v>
      </c>
      <c r="J33" s="55" t="e">
        <f>SUMIF(#REF!,"=Т",#REF!)+SUMIF(#REF!,"=Т",#REF!)</f>
        <v>#REF!</v>
      </c>
      <c r="K33" s="55" t="e">
        <f>SUMIF(#REF!,"=Т",#REF!)+SUMIF(#REF!,"=Т",#REF!)</f>
        <v>#REF!</v>
      </c>
      <c r="L33" s="55" t="e">
        <f>SUMIF(#REF!,"=Т",#REF!)+SUMIF(#REF!,"=Т",#REF!)</f>
        <v>#REF!</v>
      </c>
      <c r="M33" s="55" t="e">
        <f>SUMIF(#REF!,"=Т",#REF!)+SUMIF(#REF!,"=Т",#REF!)</f>
        <v>#REF!</v>
      </c>
      <c r="N33" s="55" t="e">
        <f>SUMIF(#REF!,"=Т",#REF!)+SUMIF(#REF!,"=Т",#REF!)</f>
        <v>#REF!</v>
      </c>
      <c r="O33" s="55" t="e">
        <f>SUMIF(#REF!,"=Т",#REF!)+SUMIF(#REF!,"=Т",#REF!)</f>
        <v>#REF!</v>
      </c>
    </row>
    <row r="34" spans="1:15" s="40" customFormat="1" ht="15.75" customHeight="1">
      <c r="A34" s="142"/>
      <c r="B34" s="143"/>
      <c r="C34" s="54" t="s">
        <v>254</v>
      </c>
      <c r="D34" s="55" t="e">
        <f>COUNTIF(#REF!,"=Т")+COUNTIF(#REF!,"=Т")</f>
        <v>#REF!</v>
      </c>
      <c r="E34" s="55" t="e">
        <f>COUNTIF(#REF!,"=Т")+COUNTIF(#REF!,"=Т")</f>
        <v>#REF!</v>
      </c>
      <c r="F34" s="55" t="e">
        <f>COUNTIF(#REF!,"=Т")+COUNTIF(#REF!,"=Т")</f>
        <v>#REF!</v>
      </c>
      <c r="G34" s="55" t="e">
        <f>COUNTIF(#REF!,"=Т")+COUNTIF(#REF!,"=Т")</f>
        <v>#REF!</v>
      </c>
      <c r="H34" s="55" t="e">
        <f>COUNTIF(#REF!,"=Т")+COUNTIF(#REF!,"=Т")</f>
        <v>#REF!</v>
      </c>
      <c r="I34" s="55" t="e">
        <f>COUNTIF(#REF!,"=Т")+COUNTIF(#REF!,"=Т")</f>
        <v>#REF!</v>
      </c>
      <c r="J34" s="55" t="e">
        <f>COUNTIF(#REF!,"=Т")+COUNTIF(#REF!,"=Т")</f>
        <v>#REF!</v>
      </c>
      <c r="K34" s="55" t="e">
        <f>COUNTIF(#REF!,"=Т")+COUNTIF(#REF!,"=Т")</f>
        <v>#REF!</v>
      </c>
      <c r="L34" s="55" t="e">
        <f>COUNTIF(#REF!,"=Т")+COUNTIF(#REF!,"=Т")</f>
        <v>#REF!</v>
      </c>
      <c r="M34" s="55" t="e">
        <f>COUNTIF(#REF!,"=Т")+COUNTIF(#REF!,"=Т")</f>
        <v>#REF!</v>
      </c>
      <c r="N34" s="55" t="e">
        <f>COUNTIF(#REF!,"=Т")+COUNTIF(#REF!,"=Т")</f>
        <v>#REF!</v>
      </c>
      <c r="O34" s="55" t="e">
        <f>COUNTIF(#REF!,"=Т")+COUNTIF(#REF!,"=Т")</f>
        <v>#REF!</v>
      </c>
    </row>
    <row r="35" spans="1:15" s="40" customFormat="1" ht="15.75" customHeight="1">
      <c r="A35" s="157" t="s">
        <v>256</v>
      </c>
      <c r="B35" s="158"/>
      <c r="C35" s="56" t="s">
        <v>253</v>
      </c>
      <c r="D35" s="55" t="e">
        <f>(SUMIF(#REF!,"=ТО",#REF!))*0.1+(SUMIF(#REF!,"=ТО",#REF!))*0.1</f>
        <v>#REF!</v>
      </c>
      <c r="E35" s="55" t="e">
        <f>(SUMIF(#REF!,"=ТО",#REF!))*0.1+(SUMIF(#REF!,"=ТО",#REF!))*0.1</f>
        <v>#REF!</v>
      </c>
      <c r="F35" s="55" t="e">
        <f>(SUMIF(#REF!,"=ТО",#REF!))*0.1+(SUMIF(#REF!,"=ТО",#REF!))*0.1</f>
        <v>#REF!</v>
      </c>
      <c r="G35" s="55" t="e">
        <f>(SUMIF(#REF!,"=ТО",#REF!))*0.1+(SUMIF(#REF!,"=ТО",#REF!))*0.1</f>
        <v>#REF!</v>
      </c>
      <c r="H35" s="55" t="e">
        <f>(SUMIF(#REF!,"=ТО",#REF!))*0.1+(SUMIF(#REF!,"=ТО",#REF!))*0.1</f>
        <v>#REF!</v>
      </c>
      <c r="I35" s="55" t="e">
        <f>(SUMIF(#REF!,"=ТО",#REF!))*0.1+(SUMIF(#REF!,"=ТО",#REF!))*0.1</f>
        <v>#REF!</v>
      </c>
      <c r="J35" s="55" t="e">
        <f>(SUMIF(#REF!,"=ТО",#REF!))*0.1+(SUMIF(#REF!,"=ТО",#REF!))*0.1</f>
        <v>#REF!</v>
      </c>
      <c r="K35" s="55" t="e">
        <f>(SUMIF(#REF!,"=ТО",#REF!))*0.1+(SUMIF(#REF!,"=ТО",#REF!))*0.1</f>
        <v>#REF!</v>
      </c>
      <c r="L35" s="55" t="e">
        <f>(SUMIF(#REF!,"=ТО",#REF!))*0.1+(SUMIF(#REF!,"=ТО",#REF!))*0.1</f>
        <v>#REF!</v>
      </c>
      <c r="M35" s="55" t="e">
        <f>(SUMIF(#REF!,"=ТО",#REF!))*0.1+(SUMIF(#REF!,"=ТО",#REF!))*0.1</f>
        <v>#REF!</v>
      </c>
      <c r="N35" s="55" t="e">
        <f>(SUMIF(#REF!,"=ТО",#REF!))*0.1+(SUMIF(#REF!,"=ТО",#REF!))*0.1</f>
        <v>#REF!</v>
      </c>
      <c r="O35" s="55" t="e">
        <f>(SUMIF(#REF!,"=ТО",#REF!))*0.1+(SUMIF(#REF!,"=ТО",#REF!))*0.1</f>
        <v>#REF!</v>
      </c>
    </row>
    <row r="36" spans="1:15" s="40" customFormat="1" ht="15.75" customHeight="1">
      <c r="A36" s="144"/>
      <c r="B36" s="145"/>
      <c r="C36" s="54" t="s">
        <v>254</v>
      </c>
      <c r="D36" s="63" t="e">
        <f>COUNTIF(#REF!,"=ТО")+COUNTIF(#REF!,"=ТО")</f>
        <v>#REF!</v>
      </c>
      <c r="E36" s="63" t="e">
        <f>COUNTIF(#REF!,"=ТО")+COUNTIF(#REF!,"=ТО")</f>
        <v>#REF!</v>
      </c>
      <c r="F36" s="63" t="e">
        <f>COUNTIF(#REF!,"=ТО")+COUNTIF(#REF!,"=ТО")</f>
        <v>#REF!</v>
      </c>
      <c r="G36" s="63" t="e">
        <f>COUNTIF(#REF!,"=ТО")+COUNTIF(#REF!,"=ТО")</f>
        <v>#REF!</v>
      </c>
      <c r="H36" s="63" t="e">
        <f>COUNTIF(#REF!,"=ТО")+COUNTIF(#REF!,"=ТО")</f>
        <v>#REF!</v>
      </c>
      <c r="I36" s="63" t="e">
        <f>COUNTIF(#REF!,"=ТО")+COUNTIF(#REF!,"=ТО")</f>
        <v>#REF!</v>
      </c>
      <c r="J36" s="63" t="e">
        <f>COUNTIF(#REF!,"=ТО")+COUNTIF(#REF!,"=ТО")</f>
        <v>#REF!</v>
      </c>
      <c r="K36" s="63" t="e">
        <f>COUNTIF(#REF!,"=ТО")+COUNTIF(#REF!,"=ТО")</f>
        <v>#REF!</v>
      </c>
      <c r="L36" s="63" t="e">
        <f>COUNTIF(#REF!,"=ТО")+COUNTIF(#REF!,"=ТО")</f>
        <v>#REF!</v>
      </c>
      <c r="M36" s="63" t="e">
        <f>COUNTIF(#REF!,"=ТО")+COUNTIF(#REF!,"=ТО")</f>
        <v>#REF!</v>
      </c>
      <c r="N36" s="63" t="e">
        <f>COUNTIF(#REF!,"=ТО")+COUNTIF(#REF!,"=ТО")</f>
        <v>#REF!</v>
      </c>
      <c r="O36" s="63" t="e">
        <f>COUNTIF(#REF!,"=ТО")+COUNTIF(#REF!,"=ТО")</f>
        <v>#REF!</v>
      </c>
    </row>
    <row r="37" spans="1:15" s="40" customFormat="1" ht="15.75" customHeight="1">
      <c r="A37" s="140" t="s">
        <v>257</v>
      </c>
      <c r="B37" s="141"/>
      <c r="C37" s="56" t="s">
        <v>253</v>
      </c>
      <c r="D37" s="55" t="e">
        <f aca="true" t="shared" si="6" ref="D37:O37">D31+D33+D35</f>
        <v>#REF!</v>
      </c>
      <c r="E37" s="55" t="e">
        <f t="shared" si="6"/>
        <v>#REF!</v>
      </c>
      <c r="F37" s="55" t="e">
        <f t="shared" si="6"/>
        <v>#REF!</v>
      </c>
      <c r="G37" s="55" t="e">
        <f t="shared" si="6"/>
        <v>#REF!</v>
      </c>
      <c r="H37" s="55" t="e">
        <f t="shared" si="6"/>
        <v>#REF!</v>
      </c>
      <c r="I37" s="55" t="e">
        <f t="shared" si="6"/>
        <v>#REF!</v>
      </c>
      <c r="J37" s="55" t="e">
        <f t="shared" si="6"/>
        <v>#REF!</v>
      </c>
      <c r="K37" s="55" t="e">
        <f t="shared" si="6"/>
        <v>#REF!</v>
      </c>
      <c r="L37" s="55" t="e">
        <f t="shared" si="6"/>
        <v>#REF!</v>
      </c>
      <c r="M37" s="55" t="e">
        <f t="shared" si="6"/>
        <v>#REF!</v>
      </c>
      <c r="N37" s="55" t="e">
        <f t="shared" si="6"/>
        <v>#REF!</v>
      </c>
      <c r="O37" s="55" t="e">
        <f t="shared" si="6"/>
        <v>#REF!</v>
      </c>
    </row>
    <row r="38" spans="1:15" s="40" customFormat="1" ht="15.75" customHeight="1">
      <c r="A38" s="140"/>
      <c r="B38" s="141"/>
      <c r="C38" s="66" t="s">
        <v>254</v>
      </c>
      <c r="D38" s="63" t="e">
        <f aca="true" t="shared" si="7" ref="D38:O38">D32+D34+D36</f>
        <v>#REF!</v>
      </c>
      <c r="E38" s="63" t="e">
        <f t="shared" si="7"/>
        <v>#REF!</v>
      </c>
      <c r="F38" s="63" t="e">
        <f t="shared" si="7"/>
        <v>#REF!</v>
      </c>
      <c r="G38" s="63" t="e">
        <f t="shared" si="7"/>
        <v>#REF!</v>
      </c>
      <c r="H38" s="63" t="e">
        <f t="shared" si="7"/>
        <v>#REF!</v>
      </c>
      <c r="I38" s="63" t="e">
        <f t="shared" si="7"/>
        <v>#REF!</v>
      </c>
      <c r="J38" s="63" t="e">
        <f t="shared" si="7"/>
        <v>#REF!</v>
      </c>
      <c r="K38" s="63" t="e">
        <f t="shared" si="7"/>
        <v>#REF!</v>
      </c>
      <c r="L38" s="63" t="e">
        <f t="shared" si="7"/>
        <v>#REF!</v>
      </c>
      <c r="M38" s="63" t="e">
        <f t="shared" si="7"/>
        <v>#REF!</v>
      </c>
      <c r="N38" s="63" t="e">
        <f t="shared" si="7"/>
        <v>#REF!</v>
      </c>
      <c r="O38" s="63" t="e">
        <f t="shared" si="7"/>
        <v>#REF!</v>
      </c>
    </row>
    <row r="39" spans="1:15" s="40" customFormat="1" ht="15.75" customHeight="1">
      <c r="A39" s="85"/>
      <c r="B39" s="85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s="88" customFormat="1" ht="15.75" thickBot="1">
      <c r="A40" s="151" t="s">
        <v>384</v>
      </c>
      <c r="B40" s="152"/>
      <c r="C40" s="153"/>
      <c r="D40" s="83" t="s">
        <v>240</v>
      </c>
      <c r="E40" s="83" t="s">
        <v>241</v>
      </c>
      <c r="F40" s="83" t="s">
        <v>242</v>
      </c>
      <c r="G40" s="83" t="s">
        <v>243</v>
      </c>
      <c r="H40" s="83" t="s">
        <v>244</v>
      </c>
      <c r="I40" s="83" t="s">
        <v>245</v>
      </c>
      <c r="J40" s="83" t="s">
        <v>246</v>
      </c>
      <c r="K40" s="83" t="s">
        <v>247</v>
      </c>
      <c r="L40" s="83" t="s">
        <v>248</v>
      </c>
      <c r="M40" s="83" t="s">
        <v>249</v>
      </c>
      <c r="N40" s="83" t="s">
        <v>250</v>
      </c>
      <c r="O40" s="83" t="s">
        <v>251</v>
      </c>
    </row>
    <row r="41" spans="1:15" ht="21" customHeight="1" thickBot="1">
      <c r="A41" s="148" t="s">
        <v>259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0"/>
    </row>
    <row r="42" spans="1:15" s="40" customFormat="1" ht="15.75" customHeight="1">
      <c r="A42" s="159" t="s">
        <v>255</v>
      </c>
      <c r="B42" s="160"/>
      <c r="C42" s="52" t="s">
        <v>253</v>
      </c>
      <c r="D42" s="53" t="e">
        <f>SUMIF(#REF!,"=Т",#REF!)</f>
        <v>#REF!</v>
      </c>
      <c r="E42" s="53" t="e">
        <f>SUMIF(#REF!,"=Т",#REF!)</f>
        <v>#REF!</v>
      </c>
      <c r="F42" s="53" t="e">
        <f>SUMIF(#REF!,"=Т",#REF!)</f>
        <v>#REF!</v>
      </c>
      <c r="G42" s="53" t="e">
        <f>SUMIF(#REF!,"=Т",#REF!)</f>
        <v>#REF!</v>
      </c>
      <c r="H42" s="53" t="e">
        <f>SUMIF(#REF!,"=Т",#REF!)</f>
        <v>#REF!</v>
      </c>
      <c r="I42" s="53" t="e">
        <f>SUMIF(#REF!,"=Т",#REF!)</f>
        <v>#REF!</v>
      </c>
      <c r="J42" s="53" t="e">
        <f>SUMIF(#REF!,"=Т",#REF!)</f>
        <v>#REF!</v>
      </c>
      <c r="K42" s="53" t="e">
        <f>SUMIF(#REF!,"=Т",#REF!)</f>
        <v>#REF!</v>
      </c>
      <c r="L42" s="53" t="e">
        <f>SUMIF(#REF!,"=Т",#REF!)</f>
        <v>#REF!</v>
      </c>
      <c r="M42" s="53" t="e">
        <f>SUMIF(#REF!,"=Т",#REF!)</f>
        <v>#REF!</v>
      </c>
      <c r="N42" s="53" t="e">
        <f>SUMIF(#REF!,"=Т",#REF!)</f>
        <v>#REF!</v>
      </c>
      <c r="O42" s="53" t="e">
        <f>SUMIF(#REF!,"=Т",#REF!)</f>
        <v>#REF!</v>
      </c>
    </row>
    <row r="43" spans="1:15" s="40" customFormat="1" ht="15.75" customHeight="1">
      <c r="A43" s="142"/>
      <c r="B43" s="143"/>
      <c r="C43" s="54" t="s">
        <v>254</v>
      </c>
      <c r="D43" s="63" t="e">
        <f>COUNTIF(#REF!,"=Т")</f>
        <v>#REF!</v>
      </c>
      <c r="E43" s="63" t="e">
        <f>COUNTIF(#REF!,"=Т")</f>
        <v>#REF!</v>
      </c>
      <c r="F43" s="63" t="e">
        <f>COUNTIF(#REF!,"=Т")</f>
        <v>#REF!</v>
      </c>
      <c r="G43" s="63" t="e">
        <f>COUNTIF(#REF!,"=Т")</f>
        <v>#REF!</v>
      </c>
      <c r="H43" s="63" t="e">
        <f>COUNTIF(#REF!,"=Т")</f>
        <v>#REF!</v>
      </c>
      <c r="I43" s="63" t="e">
        <f>COUNTIF(#REF!,"=Т")</f>
        <v>#REF!</v>
      </c>
      <c r="J43" s="63" t="e">
        <f>COUNTIF(#REF!,"=Т")</f>
        <v>#REF!</v>
      </c>
      <c r="K43" s="63" t="e">
        <f>COUNTIF(#REF!,"=Т")</f>
        <v>#REF!</v>
      </c>
      <c r="L43" s="63" t="e">
        <f>COUNTIF(#REF!,"=Т")</f>
        <v>#REF!</v>
      </c>
      <c r="M43" s="63" t="e">
        <f>COUNTIF(#REF!,"=Т")</f>
        <v>#REF!</v>
      </c>
      <c r="N43" s="63" t="e">
        <f>COUNTIF(#REF!,"=Т")</f>
        <v>#REF!</v>
      </c>
      <c r="O43" s="63" t="e">
        <f>COUNTIF(#REF!,"=Т")</f>
        <v>#REF!</v>
      </c>
    </row>
    <row r="44" spans="1:15" s="40" customFormat="1" ht="15.75" customHeight="1">
      <c r="A44" s="157" t="s">
        <v>256</v>
      </c>
      <c r="B44" s="158"/>
      <c r="C44" s="56" t="s">
        <v>253</v>
      </c>
      <c r="D44" s="63" t="e">
        <f>(SUMIF(#REF!,"=ТО",#REF!))*0.1</f>
        <v>#REF!</v>
      </c>
      <c r="E44" s="63" t="e">
        <f>(SUMIF(#REF!,"=ТО",#REF!))*0.1</f>
        <v>#REF!</v>
      </c>
      <c r="F44" s="63" t="e">
        <f>(SUMIF(#REF!,"=ТО",#REF!))*0.1</f>
        <v>#REF!</v>
      </c>
      <c r="G44" s="63" t="e">
        <f>(SUMIF(#REF!,"=ТО",#REF!))*0.1</f>
        <v>#REF!</v>
      </c>
      <c r="H44" s="63" t="e">
        <f>(SUMIF(#REF!,"=ТО",#REF!))*0.1</f>
        <v>#REF!</v>
      </c>
      <c r="I44" s="63" t="e">
        <f>(SUMIF(#REF!,"=ТО",#REF!))*0.1</f>
        <v>#REF!</v>
      </c>
      <c r="J44" s="63" t="e">
        <f>(SUMIF(#REF!,"=ТО",#REF!))*0.1</f>
        <v>#REF!</v>
      </c>
      <c r="K44" s="63" t="e">
        <f>(SUMIF(#REF!,"=ТО",#REF!))*0.1</f>
        <v>#REF!</v>
      </c>
      <c r="L44" s="63" t="e">
        <f>(SUMIF(#REF!,"=ТО",#REF!))*0.1</f>
        <v>#REF!</v>
      </c>
      <c r="M44" s="63" t="e">
        <f>(SUMIF(#REF!,"=ТО",#REF!))*0.1</f>
        <v>#REF!</v>
      </c>
      <c r="N44" s="63" t="e">
        <f>(SUMIF(#REF!,"=ТО",#REF!))*0.1</f>
        <v>#REF!</v>
      </c>
      <c r="O44" s="63" t="e">
        <f>(SUMIF(#REF!,"=ТО",#REF!))*0.1</f>
        <v>#REF!</v>
      </c>
    </row>
    <row r="45" spans="1:15" s="40" customFormat="1" ht="15.75" customHeight="1">
      <c r="A45" s="144"/>
      <c r="B45" s="145"/>
      <c r="C45" s="54" t="s">
        <v>254</v>
      </c>
      <c r="D45" s="63" t="e">
        <f>COUNTIF(#REF!,"=ТО")</f>
        <v>#REF!</v>
      </c>
      <c r="E45" s="63" t="e">
        <f>COUNTIF(#REF!,"=ТО")</f>
        <v>#REF!</v>
      </c>
      <c r="F45" s="63" t="e">
        <f>COUNTIF(#REF!,"=ТО")</f>
        <v>#REF!</v>
      </c>
      <c r="G45" s="63" t="e">
        <f>COUNTIF(#REF!,"=ТО")</f>
        <v>#REF!</v>
      </c>
      <c r="H45" s="63" t="e">
        <f>COUNTIF(#REF!,"=ТО")</f>
        <v>#REF!</v>
      </c>
      <c r="I45" s="63" t="e">
        <f>COUNTIF(#REF!,"=ТО")</f>
        <v>#REF!</v>
      </c>
      <c r="J45" s="63" t="e">
        <f>COUNTIF(#REF!,"=ТО")</f>
        <v>#REF!</v>
      </c>
      <c r="K45" s="63" t="e">
        <f>COUNTIF(#REF!,"=ТО")</f>
        <v>#REF!</v>
      </c>
      <c r="L45" s="63" t="e">
        <f>COUNTIF(#REF!,"=ТО")</f>
        <v>#REF!</v>
      </c>
      <c r="M45" s="63" t="e">
        <f>COUNTIF(#REF!,"=ТО")</f>
        <v>#REF!</v>
      </c>
      <c r="N45" s="63" t="e">
        <f>COUNTIF(#REF!,"=ТО")</f>
        <v>#REF!</v>
      </c>
      <c r="O45" s="63" t="e">
        <f>COUNTIF(#REF!,"=ТО")</f>
        <v>#REF!</v>
      </c>
    </row>
    <row r="46" spans="1:15" s="40" customFormat="1" ht="15.75" customHeight="1">
      <c r="A46" s="140" t="s">
        <v>257</v>
      </c>
      <c r="B46" s="141"/>
      <c r="C46" s="56" t="s">
        <v>253</v>
      </c>
      <c r="D46" s="55" t="e">
        <f aca="true" t="shared" si="8" ref="D46:O46">D42+D44</f>
        <v>#REF!</v>
      </c>
      <c r="E46" s="55" t="e">
        <f t="shared" si="8"/>
        <v>#REF!</v>
      </c>
      <c r="F46" s="55" t="e">
        <f t="shared" si="8"/>
        <v>#REF!</v>
      </c>
      <c r="G46" s="55" t="e">
        <f t="shared" si="8"/>
        <v>#REF!</v>
      </c>
      <c r="H46" s="55" t="e">
        <f t="shared" si="8"/>
        <v>#REF!</v>
      </c>
      <c r="I46" s="55" t="e">
        <f t="shared" si="8"/>
        <v>#REF!</v>
      </c>
      <c r="J46" s="55" t="e">
        <f t="shared" si="8"/>
        <v>#REF!</v>
      </c>
      <c r="K46" s="55" t="e">
        <f t="shared" si="8"/>
        <v>#REF!</v>
      </c>
      <c r="L46" s="55" t="e">
        <f t="shared" si="8"/>
        <v>#REF!</v>
      </c>
      <c r="M46" s="55" t="e">
        <f t="shared" si="8"/>
        <v>#REF!</v>
      </c>
      <c r="N46" s="55" t="e">
        <f t="shared" si="8"/>
        <v>#REF!</v>
      </c>
      <c r="O46" s="55" t="e">
        <f t="shared" si="8"/>
        <v>#REF!</v>
      </c>
    </row>
    <row r="47" spans="1:15" s="40" customFormat="1" ht="15.75" customHeight="1" thickBot="1">
      <c r="A47" s="146"/>
      <c r="B47" s="147"/>
      <c r="C47" s="57" t="s">
        <v>254</v>
      </c>
      <c r="D47" s="58" t="e">
        <f aca="true" t="shared" si="9" ref="D47:O47">D43+D45</f>
        <v>#REF!</v>
      </c>
      <c r="E47" s="58" t="e">
        <f t="shared" si="9"/>
        <v>#REF!</v>
      </c>
      <c r="F47" s="58" t="e">
        <f t="shared" si="9"/>
        <v>#REF!</v>
      </c>
      <c r="G47" s="58" t="e">
        <f t="shared" si="9"/>
        <v>#REF!</v>
      </c>
      <c r="H47" s="58" t="e">
        <f t="shared" si="9"/>
        <v>#REF!</v>
      </c>
      <c r="I47" s="58" t="e">
        <f t="shared" si="9"/>
        <v>#REF!</v>
      </c>
      <c r="J47" s="58" t="e">
        <f t="shared" si="9"/>
        <v>#REF!</v>
      </c>
      <c r="K47" s="58" t="e">
        <f t="shared" si="9"/>
        <v>#REF!</v>
      </c>
      <c r="L47" s="58" t="e">
        <f t="shared" si="9"/>
        <v>#REF!</v>
      </c>
      <c r="M47" s="58" t="e">
        <f t="shared" si="9"/>
        <v>#REF!</v>
      </c>
      <c r="N47" s="58" t="e">
        <f t="shared" si="9"/>
        <v>#REF!</v>
      </c>
      <c r="O47" s="58" t="e">
        <f t="shared" si="9"/>
        <v>#REF!</v>
      </c>
    </row>
    <row r="48" spans="1:15" ht="21" customHeight="1" thickBot="1">
      <c r="A48" s="148" t="s">
        <v>376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0"/>
    </row>
    <row r="49" spans="1:15" s="40" customFormat="1" ht="15.75" customHeight="1">
      <c r="A49" s="138" t="s">
        <v>252</v>
      </c>
      <c r="B49" s="139"/>
      <c r="C49" s="52" t="s">
        <v>253</v>
      </c>
      <c r="D49" s="53" t="e">
        <f>SUMIF(#REF!,"=К",#REF!)+SUMIF(#REF!,"=К",#REF!)+SUMIF(#REF!,"=К",#REF!)</f>
        <v>#REF!</v>
      </c>
      <c r="E49" s="53" t="e">
        <f>SUMIF(#REF!,"=К",#REF!)+SUMIF(#REF!,"=К",#REF!)+SUMIF(#REF!,"=К",#REF!)</f>
        <v>#REF!</v>
      </c>
      <c r="F49" s="53" t="e">
        <f>SUMIF(#REF!,"=К",#REF!)+SUMIF(#REF!,"=К",#REF!)+SUMIF(#REF!,"=К",#REF!)</f>
        <v>#REF!</v>
      </c>
      <c r="G49" s="53" t="e">
        <f>SUMIF(#REF!,"=К",#REF!)+SUMIF(#REF!,"=К",#REF!)+SUMIF(#REF!,"=К",#REF!)</f>
        <v>#REF!</v>
      </c>
      <c r="H49" s="53" t="e">
        <f>SUMIF(#REF!,"=К",#REF!)+SUMIF(#REF!,"=К",#REF!)+SUMIF(#REF!,"=К",#REF!)</f>
        <v>#REF!</v>
      </c>
      <c r="I49" s="53" t="e">
        <f>SUMIF(#REF!,"=К",#REF!)+SUMIF(#REF!,"=К",#REF!)+SUMIF(#REF!,"=К",#REF!)</f>
        <v>#REF!</v>
      </c>
      <c r="J49" s="53" t="e">
        <f>SUMIF(#REF!,"=К",#REF!)+SUMIF(#REF!,"=К",#REF!)+SUMIF(#REF!,"=К",#REF!)</f>
        <v>#REF!</v>
      </c>
      <c r="K49" s="53" t="e">
        <f>SUMIF(#REF!,"=К",#REF!)+SUMIF(#REF!,"=К",#REF!)+SUMIF(#REF!,"=К",#REF!)</f>
        <v>#REF!</v>
      </c>
      <c r="L49" s="53" t="e">
        <f>SUMIF(#REF!,"=К",#REF!)+SUMIF(#REF!,"=К",#REF!)+SUMIF(#REF!,"=К",#REF!)</f>
        <v>#REF!</v>
      </c>
      <c r="M49" s="53" t="e">
        <f>SUMIF(#REF!,"=К",#REF!)+SUMIF(#REF!,"=К",#REF!)+SUMIF(#REF!,"=К",#REF!)</f>
        <v>#REF!</v>
      </c>
      <c r="N49" s="53" t="e">
        <f>SUMIF(#REF!,"=К",#REF!)+SUMIF(#REF!,"=К",#REF!)+SUMIF(#REF!,"=К",#REF!)</f>
        <v>#REF!</v>
      </c>
      <c r="O49" s="53" t="e">
        <f>SUMIF(#REF!,"=К",#REF!)+SUMIF(#REF!,"=К",#REF!)+SUMIF(#REF!,"=К",#REF!)</f>
        <v>#REF!</v>
      </c>
    </row>
    <row r="50" spans="1:15" s="40" customFormat="1" ht="15.75" customHeight="1">
      <c r="A50" s="140"/>
      <c r="B50" s="141"/>
      <c r="C50" s="54" t="s">
        <v>254</v>
      </c>
      <c r="D50" s="62" t="e">
        <f>COUNTIF(#REF!,"=К")+COUNTIF(#REF!,"=К")+COUNTIF(#REF!,"=К")</f>
        <v>#REF!</v>
      </c>
      <c r="E50" s="62" t="e">
        <f>COUNTIF(#REF!,"=К")+COUNTIF(#REF!,"=К")+COUNTIF(#REF!,"=К")</f>
        <v>#REF!</v>
      </c>
      <c r="F50" s="62" t="e">
        <f>COUNTIF(#REF!,"=К")+COUNTIF(#REF!,"=К")+COUNTIF(#REF!,"=К")</f>
        <v>#REF!</v>
      </c>
      <c r="G50" s="62" t="e">
        <f>COUNTIF(#REF!,"=К")+COUNTIF(#REF!,"=К")+COUNTIF(#REF!,"=К")</f>
        <v>#REF!</v>
      </c>
      <c r="H50" s="62" t="e">
        <f>COUNTIF(#REF!,"=К")+COUNTIF(#REF!,"=К")+COUNTIF(#REF!,"=К")</f>
        <v>#REF!</v>
      </c>
      <c r="I50" s="62" t="e">
        <f>COUNTIF(#REF!,"=К")+COUNTIF(#REF!,"=К")+COUNTIF(#REF!,"=К")</f>
        <v>#REF!</v>
      </c>
      <c r="J50" s="62" t="e">
        <f>COUNTIF(#REF!,"=К")+COUNTIF(#REF!,"=К")+COUNTIF(#REF!,"=К")</f>
        <v>#REF!</v>
      </c>
      <c r="K50" s="62" t="e">
        <f>COUNTIF(#REF!,"=К")+COUNTIF(#REF!,"=К")+COUNTIF(#REF!,"=К")</f>
        <v>#REF!</v>
      </c>
      <c r="L50" s="62" t="e">
        <f>COUNTIF(#REF!,"=К")+COUNTIF(#REF!,"=К")+COUNTIF(#REF!,"=К")</f>
        <v>#REF!</v>
      </c>
      <c r="M50" s="62" t="e">
        <f>COUNTIF(#REF!,"=К")+COUNTIF(#REF!,"=К")+COUNTIF(#REF!,"=К")</f>
        <v>#REF!</v>
      </c>
      <c r="N50" s="62" t="e">
        <f>COUNTIF(#REF!,"=К")+COUNTIF(#REF!,"=К")+COUNTIF(#REF!,"=К")</f>
        <v>#REF!</v>
      </c>
      <c r="O50" s="62" t="e">
        <f>COUNTIF(#REF!,"=К")+COUNTIF(#REF!,"=К")+COUNTIF(#REF!,"=К")</f>
        <v>#REF!</v>
      </c>
    </row>
    <row r="51" spans="1:15" s="40" customFormat="1" ht="15.75" customHeight="1">
      <c r="A51" s="142" t="s">
        <v>255</v>
      </c>
      <c r="B51" s="143"/>
      <c r="C51" s="56" t="s">
        <v>253</v>
      </c>
      <c r="D51" s="55" t="e">
        <f>SUMIF(#REF!,"=Т",#REF!)+SUMIF(#REF!,"=Т",#REF!)+SUMIF(#REF!,"=Т",#REF!)</f>
        <v>#REF!</v>
      </c>
      <c r="E51" s="55" t="e">
        <f>SUMIF(#REF!,"=Т",#REF!)+SUMIF(#REF!,"=Т",#REF!)+SUMIF(#REF!,"=Т",#REF!)</f>
        <v>#REF!</v>
      </c>
      <c r="F51" s="55" t="e">
        <f>SUMIF(#REF!,"=Т",#REF!)+SUMIF(#REF!,"=Т",#REF!)+SUMIF(#REF!,"=Т",#REF!)</f>
        <v>#REF!</v>
      </c>
      <c r="G51" s="55" t="e">
        <f>SUMIF(#REF!,"=Т",#REF!)+SUMIF(#REF!,"=Т",#REF!)+SUMIF(#REF!,"=Т",#REF!)</f>
        <v>#REF!</v>
      </c>
      <c r="H51" s="55" t="e">
        <f>SUMIF(#REF!,"=Т",#REF!)+SUMIF(#REF!,"=Т",#REF!)+SUMIF(#REF!,"=Т",#REF!)</f>
        <v>#REF!</v>
      </c>
      <c r="I51" s="55" t="e">
        <f>SUMIF(#REF!,"=Т",#REF!)+SUMIF(#REF!,"=Т",#REF!)+SUMIF(#REF!,"=Т",#REF!)</f>
        <v>#REF!</v>
      </c>
      <c r="J51" s="55" t="e">
        <f>SUMIF(#REF!,"=Т",#REF!)+SUMIF(#REF!,"=Т",#REF!)+SUMIF(#REF!,"=Т",#REF!)</f>
        <v>#REF!</v>
      </c>
      <c r="K51" s="55" t="e">
        <f>SUMIF(#REF!,"=Т",#REF!)+SUMIF(#REF!,"=Т",#REF!)+SUMIF(#REF!,"=Т",#REF!)</f>
        <v>#REF!</v>
      </c>
      <c r="L51" s="55" t="e">
        <f>SUMIF(#REF!,"=Т",#REF!)+SUMIF(#REF!,"=Т",#REF!)+SUMIF(#REF!,"=Т",#REF!)</f>
        <v>#REF!</v>
      </c>
      <c r="M51" s="55" t="e">
        <f>SUMIF(#REF!,"=Т",#REF!)+SUMIF(#REF!,"=Т",#REF!)+SUMIF(#REF!,"=Т",#REF!)</f>
        <v>#REF!</v>
      </c>
      <c r="N51" s="55" t="e">
        <f>SUMIF(#REF!,"=Т",#REF!)+SUMIF(#REF!,"=Т",#REF!)+SUMIF(#REF!,"=Т",#REF!)</f>
        <v>#REF!</v>
      </c>
      <c r="O51" s="55" t="e">
        <f>SUMIF(#REF!,"=Т",#REF!)+SUMIF(#REF!,"=Т",#REF!)+SUMIF(#REF!,"=Т",#REF!)</f>
        <v>#REF!</v>
      </c>
    </row>
    <row r="52" spans="1:15" s="40" customFormat="1" ht="15.75" customHeight="1">
      <c r="A52" s="142"/>
      <c r="B52" s="143"/>
      <c r="C52" s="54" t="s">
        <v>254</v>
      </c>
      <c r="D52" s="55" t="e">
        <f>COUNTIF(#REF!,"=Т")+COUNTIF(#REF!,"=Т")+COUNTIF(#REF!,"=Т")</f>
        <v>#REF!</v>
      </c>
      <c r="E52" s="55" t="e">
        <f>COUNTIF(#REF!,"=Т")+COUNTIF(#REF!,"=Т")+COUNTIF(#REF!,"=Т")</f>
        <v>#REF!</v>
      </c>
      <c r="F52" s="55" t="e">
        <f>COUNTIF(#REF!,"=Т")+COUNTIF(#REF!,"=Т")+COUNTIF(#REF!,"=Т")</f>
        <v>#REF!</v>
      </c>
      <c r="G52" s="55" t="e">
        <f>COUNTIF(#REF!,"=Т")+COUNTIF(#REF!,"=Т")+COUNTIF(#REF!,"=Т")</f>
        <v>#REF!</v>
      </c>
      <c r="H52" s="55" t="e">
        <f>COUNTIF(#REF!,"=Т")+COUNTIF(#REF!,"=Т")+COUNTIF(#REF!,"=Т")</f>
        <v>#REF!</v>
      </c>
      <c r="I52" s="55" t="e">
        <f>COUNTIF(#REF!,"=Т")+COUNTIF(#REF!,"=Т")+COUNTIF(#REF!,"=Т")</f>
        <v>#REF!</v>
      </c>
      <c r="J52" s="55" t="e">
        <f>COUNTIF(#REF!,"=Т")+COUNTIF(#REF!,"=Т")+COUNTIF(#REF!,"=Т")</f>
        <v>#REF!</v>
      </c>
      <c r="K52" s="55" t="e">
        <f>COUNTIF(#REF!,"=Т")+COUNTIF(#REF!,"=Т")+COUNTIF(#REF!,"=Т")</f>
        <v>#REF!</v>
      </c>
      <c r="L52" s="55" t="e">
        <f>COUNTIF(#REF!,"=Т")+COUNTIF(#REF!,"=Т")+COUNTIF(#REF!,"=Т")</f>
        <v>#REF!</v>
      </c>
      <c r="M52" s="55" t="e">
        <f>COUNTIF(#REF!,"=Т")+COUNTIF(#REF!,"=Т")+COUNTIF(#REF!,"=Т")</f>
        <v>#REF!</v>
      </c>
      <c r="N52" s="55" t="e">
        <f>COUNTIF(#REF!,"=Т")+COUNTIF(#REF!,"=Т")+COUNTIF(#REF!,"=Т")</f>
        <v>#REF!</v>
      </c>
      <c r="O52" s="55" t="e">
        <f>COUNTIF(#REF!,"=Т")+COUNTIF(#REF!,"=Т")+COUNTIF(#REF!,"=Т")</f>
        <v>#REF!</v>
      </c>
    </row>
    <row r="53" spans="1:15" s="40" customFormat="1" ht="15.75" customHeight="1">
      <c r="A53" s="157" t="s">
        <v>256</v>
      </c>
      <c r="B53" s="158"/>
      <c r="C53" s="56" t="s">
        <v>253</v>
      </c>
      <c r="D53" s="55" t="e">
        <f>(SUMIF(#REF!,"=ТО",#REF!))*0.1+(SUMIF(#REF!,"=ТО",#REF!))*0.1+(SUMIF(#REF!,"=ТО",#REF!))*0.1</f>
        <v>#REF!</v>
      </c>
      <c r="E53" s="55" t="e">
        <f>(SUMIF(#REF!,"=ТО",#REF!))*0.1+(SUMIF(#REF!,"=ТО",#REF!))*0.1+(SUMIF(#REF!,"=ТО",#REF!))*0.1</f>
        <v>#REF!</v>
      </c>
      <c r="F53" s="55" t="e">
        <f>(SUMIF(#REF!,"=ТО",#REF!))*0.1+(SUMIF(#REF!,"=ТО",#REF!))*0.1+(SUMIF(#REF!,"=ТО",#REF!))*0.1</f>
        <v>#REF!</v>
      </c>
      <c r="G53" s="55" t="e">
        <f>(SUMIF(#REF!,"=ТО",#REF!))*0.1+(SUMIF(#REF!,"=ТО",#REF!))*0.1+(SUMIF(#REF!,"=ТО",#REF!))*0.1</f>
        <v>#REF!</v>
      </c>
      <c r="H53" s="55" t="e">
        <f>(SUMIF(#REF!,"=ТО",#REF!))*0.1+(SUMIF(#REF!,"=ТО",#REF!))*0.1+(SUMIF(#REF!,"=ТО",#REF!))*0.1</f>
        <v>#REF!</v>
      </c>
      <c r="I53" s="55" t="e">
        <f>(SUMIF(#REF!,"=ТО",#REF!))*0.1+(SUMIF(#REF!,"=ТО",#REF!))*0.1+(SUMIF(#REF!,"=ТО",#REF!))*0.1</f>
        <v>#REF!</v>
      </c>
      <c r="J53" s="55" t="e">
        <f>(SUMIF(#REF!,"=ТО",#REF!))*0.1+(SUMIF(#REF!,"=ТО",#REF!))*0.1+(SUMIF(#REF!,"=ТО",#REF!))*0.1</f>
        <v>#REF!</v>
      </c>
      <c r="K53" s="55" t="e">
        <f>(SUMIF(#REF!,"=ТО",#REF!))*0.1+(SUMIF(#REF!,"=ТО",#REF!))*0.1+(SUMIF(#REF!,"=ТО",#REF!))*0.1</f>
        <v>#REF!</v>
      </c>
      <c r="L53" s="55" t="e">
        <f>(SUMIF(#REF!,"=ТО",#REF!))*0.1+(SUMIF(#REF!,"=ТО",#REF!))*0.1+(SUMIF(#REF!,"=ТО",#REF!))*0.1</f>
        <v>#REF!</v>
      </c>
      <c r="M53" s="55" t="e">
        <f>(SUMIF(#REF!,"=ТО",#REF!))*0.1+(SUMIF(#REF!,"=ТО",#REF!))*0.1+(SUMIF(#REF!,"=ТО",#REF!))*0.1</f>
        <v>#REF!</v>
      </c>
      <c r="N53" s="55" t="e">
        <f>(SUMIF(#REF!,"=ТО",#REF!))*0.1+(SUMIF(#REF!,"=ТО",#REF!))*0.1+(SUMIF(#REF!,"=ТО",#REF!))*0.1</f>
        <v>#REF!</v>
      </c>
      <c r="O53" s="55" t="e">
        <f>(SUMIF(#REF!,"=ТО",#REF!))*0.1+(SUMIF(#REF!,"=ТО",#REF!))*0.1+(SUMIF(#REF!,"=ТО",#REF!))*0.1</f>
        <v>#REF!</v>
      </c>
    </row>
    <row r="54" spans="1:15" s="40" customFormat="1" ht="15.75" customHeight="1">
      <c r="A54" s="144"/>
      <c r="B54" s="145"/>
      <c r="C54" s="54" t="s">
        <v>254</v>
      </c>
      <c r="D54" s="55" t="e">
        <f>COUNTIF(#REF!,"=ТО")+COUNTIF(#REF!,"=ТО")+COUNTIF(#REF!,"=ТО")</f>
        <v>#REF!</v>
      </c>
      <c r="E54" s="55" t="e">
        <f>COUNTIF(#REF!,"=ТО")+COUNTIF(#REF!,"=ТО")+COUNTIF(#REF!,"=ТО")</f>
        <v>#REF!</v>
      </c>
      <c r="F54" s="55" t="e">
        <f>COUNTIF(#REF!,"=ТО")+COUNTIF(#REF!,"=ТО")+COUNTIF(#REF!,"=ТО")</f>
        <v>#REF!</v>
      </c>
      <c r="G54" s="55" t="e">
        <f>COUNTIF(#REF!,"=ТО")+COUNTIF(#REF!,"=ТО")+COUNTIF(#REF!,"=ТО")</f>
        <v>#REF!</v>
      </c>
      <c r="H54" s="55" t="e">
        <f>COUNTIF(#REF!,"=ТО")+COUNTIF(#REF!,"=ТО")+COUNTIF(#REF!,"=ТО")</f>
        <v>#REF!</v>
      </c>
      <c r="I54" s="55" t="e">
        <f>COUNTIF(#REF!,"=ТО")+COUNTIF(#REF!,"=ТО")+COUNTIF(#REF!,"=ТО")</f>
        <v>#REF!</v>
      </c>
      <c r="J54" s="55" t="e">
        <f>COUNTIF(#REF!,"=ТО")+COUNTIF(#REF!,"=ТО")+COUNTIF(#REF!,"=ТО")</f>
        <v>#REF!</v>
      </c>
      <c r="K54" s="55" t="e">
        <f>COUNTIF(#REF!,"=ТО")+COUNTIF(#REF!,"=ТО")+COUNTIF(#REF!,"=ТО")</f>
        <v>#REF!</v>
      </c>
      <c r="L54" s="55" t="e">
        <f>COUNTIF(#REF!,"=ТО")+COUNTIF(#REF!,"=ТО")+COUNTIF(#REF!,"=ТО")</f>
        <v>#REF!</v>
      </c>
      <c r="M54" s="55" t="e">
        <f>COUNTIF(#REF!,"=ТО")+COUNTIF(#REF!,"=ТО")+COUNTIF(#REF!,"=ТО")</f>
        <v>#REF!</v>
      </c>
      <c r="N54" s="55" t="e">
        <f>COUNTIF(#REF!,"=ТО")+COUNTIF(#REF!,"=ТО")+COUNTIF(#REF!,"=ТО")</f>
        <v>#REF!</v>
      </c>
      <c r="O54" s="55" t="e">
        <f>COUNTIF(#REF!,"=ТО")+COUNTIF(#REF!,"=ТО")+COUNTIF(#REF!,"=ТО")</f>
        <v>#REF!</v>
      </c>
    </row>
    <row r="55" spans="1:15" s="40" customFormat="1" ht="15.75" customHeight="1">
      <c r="A55" s="140" t="s">
        <v>257</v>
      </c>
      <c r="B55" s="141"/>
      <c r="C55" s="56" t="s">
        <v>253</v>
      </c>
      <c r="D55" s="55" t="e">
        <f aca="true" t="shared" si="10" ref="D55:O55">D49+D51+D53</f>
        <v>#REF!</v>
      </c>
      <c r="E55" s="55" t="e">
        <f t="shared" si="10"/>
        <v>#REF!</v>
      </c>
      <c r="F55" s="55" t="e">
        <f t="shared" si="10"/>
        <v>#REF!</v>
      </c>
      <c r="G55" s="55" t="e">
        <f t="shared" si="10"/>
        <v>#REF!</v>
      </c>
      <c r="H55" s="55" t="e">
        <f t="shared" si="10"/>
        <v>#REF!</v>
      </c>
      <c r="I55" s="55" t="e">
        <f t="shared" si="10"/>
        <v>#REF!</v>
      </c>
      <c r="J55" s="55" t="e">
        <f t="shared" si="10"/>
        <v>#REF!</v>
      </c>
      <c r="K55" s="55" t="e">
        <f t="shared" si="10"/>
        <v>#REF!</v>
      </c>
      <c r="L55" s="55" t="e">
        <f t="shared" si="10"/>
        <v>#REF!</v>
      </c>
      <c r="M55" s="55" t="e">
        <f t="shared" si="10"/>
        <v>#REF!</v>
      </c>
      <c r="N55" s="55" t="e">
        <f t="shared" si="10"/>
        <v>#REF!</v>
      </c>
      <c r="O55" s="55" t="e">
        <f t="shared" si="10"/>
        <v>#REF!</v>
      </c>
    </row>
    <row r="56" spans="1:15" s="40" customFormat="1" ht="15.75" customHeight="1" thickBot="1">
      <c r="A56" s="146"/>
      <c r="B56" s="147"/>
      <c r="C56" s="57" t="s">
        <v>254</v>
      </c>
      <c r="D56" s="58" t="e">
        <f aca="true" t="shared" si="11" ref="D56:O56">D50+D52+D54</f>
        <v>#REF!</v>
      </c>
      <c r="E56" s="58" t="e">
        <f t="shared" si="11"/>
        <v>#REF!</v>
      </c>
      <c r="F56" s="58" t="e">
        <f t="shared" si="11"/>
        <v>#REF!</v>
      </c>
      <c r="G56" s="58" t="e">
        <f t="shared" si="11"/>
        <v>#REF!</v>
      </c>
      <c r="H56" s="58" t="e">
        <f t="shared" si="11"/>
        <v>#REF!</v>
      </c>
      <c r="I56" s="58" t="e">
        <f t="shared" si="11"/>
        <v>#REF!</v>
      </c>
      <c r="J56" s="58" t="e">
        <f t="shared" si="11"/>
        <v>#REF!</v>
      </c>
      <c r="K56" s="58" t="e">
        <f t="shared" si="11"/>
        <v>#REF!</v>
      </c>
      <c r="L56" s="58" t="e">
        <f t="shared" si="11"/>
        <v>#REF!</v>
      </c>
      <c r="M56" s="58" t="e">
        <f t="shared" si="11"/>
        <v>#REF!</v>
      </c>
      <c r="N56" s="58" t="e">
        <f t="shared" si="11"/>
        <v>#REF!</v>
      </c>
      <c r="O56" s="58" t="e">
        <f t="shared" si="11"/>
        <v>#REF!</v>
      </c>
    </row>
    <row r="57" spans="1:15" ht="21" customHeight="1" thickBot="1">
      <c r="A57" s="148" t="s">
        <v>377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50"/>
    </row>
    <row r="58" spans="1:15" s="40" customFormat="1" ht="15.75" customHeight="1">
      <c r="A58" s="138" t="s">
        <v>252</v>
      </c>
      <c r="B58" s="139"/>
      <c r="C58" s="52" t="s">
        <v>253</v>
      </c>
      <c r="D58" s="53" t="e">
        <f>SUMIF(#REF!,"=К",#REF!)</f>
        <v>#REF!</v>
      </c>
      <c r="E58" s="53" t="e">
        <f>SUMIF(#REF!,"=К",#REF!)</f>
        <v>#REF!</v>
      </c>
      <c r="F58" s="53" t="e">
        <f>SUMIF(#REF!,"=К",#REF!)</f>
        <v>#REF!</v>
      </c>
      <c r="G58" s="53" t="e">
        <f>SUMIF(#REF!,"=К",#REF!)</f>
        <v>#REF!</v>
      </c>
      <c r="H58" s="53" t="e">
        <f>SUMIF(#REF!,"=К",#REF!)</f>
        <v>#REF!</v>
      </c>
      <c r="I58" s="53" t="e">
        <f>SUMIF(#REF!,"=К",#REF!)</f>
        <v>#REF!</v>
      </c>
      <c r="J58" s="53" t="e">
        <f>SUMIF(#REF!,"=К",#REF!)</f>
        <v>#REF!</v>
      </c>
      <c r="K58" s="53" t="e">
        <f>SUMIF(#REF!,"=К",#REF!)</f>
        <v>#REF!</v>
      </c>
      <c r="L58" s="53" t="e">
        <f>SUMIF(#REF!,"=К",#REF!)</f>
        <v>#REF!</v>
      </c>
      <c r="M58" s="53" t="e">
        <f>SUMIF(#REF!,"=К",#REF!)</f>
        <v>#REF!</v>
      </c>
      <c r="N58" s="53" t="e">
        <f>SUMIF(#REF!,"=К",#REF!)</f>
        <v>#REF!</v>
      </c>
      <c r="O58" s="53" t="e">
        <f>SUMIF(#REF!,"=К",#REF!)</f>
        <v>#REF!</v>
      </c>
    </row>
    <row r="59" spans="1:15" s="40" customFormat="1" ht="15.75" customHeight="1">
      <c r="A59" s="140"/>
      <c r="B59" s="141"/>
      <c r="C59" s="54" t="s">
        <v>254</v>
      </c>
      <c r="D59" s="62" t="e">
        <f>COUNTIF(#REF!,"=К")</f>
        <v>#REF!</v>
      </c>
      <c r="E59" s="62" t="e">
        <f>COUNTIF(#REF!,"=К")</f>
        <v>#REF!</v>
      </c>
      <c r="F59" s="62" t="e">
        <f>COUNTIF(#REF!,"=К")</f>
        <v>#REF!</v>
      </c>
      <c r="G59" s="62" t="e">
        <f>COUNTIF(#REF!,"=К")</f>
        <v>#REF!</v>
      </c>
      <c r="H59" s="62" t="e">
        <f>COUNTIF(#REF!,"=К")</f>
        <v>#REF!</v>
      </c>
      <c r="I59" s="62" t="e">
        <f>COUNTIF(#REF!,"=К")</f>
        <v>#REF!</v>
      </c>
      <c r="J59" s="62" t="e">
        <f>COUNTIF(#REF!,"=К")</f>
        <v>#REF!</v>
      </c>
      <c r="K59" s="62" t="e">
        <f>COUNTIF(#REF!,"=К")</f>
        <v>#REF!</v>
      </c>
      <c r="L59" s="62" t="e">
        <f>COUNTIF(#REF!,"=К")</f>
        <v>#REF!</v>
      </c>
      <c r="M59" s="62" t="e">
        <f>COUNTIF(#REF!,"=К")</f>
        <v>#REF!</v>
      </c>
      <c r="N59" s="62" t="e">
        <f>COUNTIF(#REF!,"=К")</f>
        <v>#REF!</v>
      </c>
      <c r="O59" s="62" t="e">
        <f>COUNTIF(#REF!,"=К")</f>
        <v>#REF!</v>
      </c>
    </row>
    <row r="60" spans="1:15" s="40" customFormat="1" ht="15.75" customHeight="1">
      <c r="A60" s="142" t="s">
        <v>255</v>
      </c>
      <c r="B60" s="143"/>
      <c r="C60" s="56" t="s">
        <v>253</v>
      </c>
      <c r="D60" s="62" t="e">
        <f>SUMIF(#REF!,"=Т",#REF!)</f>
        <v>#REF!</v>
      </c>
      <c r="E60" s="62" t="e">
        <f>SUMIF(#REF!,"=Т",#REF!)</f>
        <v>#REF!</v>
      </c>
      <c r="F60" s="62" t="e">
        <f>SUMIF(#REF!,"=Т",#REF!)</f>
        <v>#REF!</v>
      </c>
      <c r="G60" s="62" t="e">
        <f>SUMIF(#REF!,"=Т",#REF!)</f>
        <v>#REF!</v>
      </c>
      <c r="H60" s="62" t="e">
        <f>SUMIF(#REF!,"=Т",#REF!)</f>
        <v>#REF!</v>
      </c>
      <c r="I60" s="62" t="e">
        <f>SUMIF(#REF!,"=Т",#REF!)</f>
        <v>#REF!</v>
      </c>
      <c r="J60" s="62" t="e">
        <f>SUMIF(#REF!,"=Т",#REF!)</f>
        <v>#REF!</v>
      </c>
      <c r="K60" s="62" t="e">
        <f>SUMIF(#REF!,"=Т",#REF!)</f>
        <v>#REF!</v>
      </c>
      <c r="L60" s="62" t="e">
        <f>SUMIF(#REF!,"=Т",#REF!)</f>
        <v>#REF!</v>
      </c>
      <c r="M60" s="62" t="e">
        <f>SUMIF(#REF!,"=Т",#REF!)</f>
        <v>#REF!</v>
      </c>
      <c r="N60" s="62" t="e">
        <f>SUMIF(#REF!,"=Т",#REF!)</f>
        <v>#REF!</v>
      </c>
      <c r="O60" s="62" t="e">
        <f>SUMIF(#REF!,"=Т",#REF!)</f>
        <v>#REF!</v>
      </c>
    </row>
    <row r="61" spans="1:15" s="40" customFormat="1" ht="15.75" customHeight="1">
      <c r="A61" s="142"/>
      <c r="B61" s="143"/>
      <c r="C61" s="54" t="s">
        <v>254</v>
      </c>
      <c r="D61" s="62" t="e">
        <f>COUNTIF(#REF!,"=Т")</f>
        <v>#REF!</v>
      </c>
      <c r="E61" s="62" t="e">
        <f>COUNTIF(#REF!,"=Т")</f>
        <v>#REF!</v>
      </c>
      <c r="F61" s="62" t="e">
        <f>COUNTIF(#REF!,"=Т")</f>
        <v>#REF!</v>
      </c>
      <c r="G61" s="62" t="e">
        <f>COUNTIF(#REF!,"=Т")</f>
        <v>#REF!</v>
      </c>
      <c r="H61" s="62" t="e">
        <f>COUNTIF(#REF!,"=Т")</f>
        <v>#REF!</v>
      </c>
      <c r="I61" s="62" t="e">
        <f>COUNTIF(#REF!,"=Т")</f>
        <v>#REF!</v>
      </c>
      <c r="J61" s="62" t="e">
        <f>COUNTIF(#REF!,"=Т")</f>
        <v>#REF!</v>
      </c>
      <c r="K61" s="62" t="e">
        <f>COUNTIF(#REF!,"=Т")</f>
        <v>#REF!</v>
      </c>
      <c r="L61" s="62" t="e">
        <f>COUNTIF(#REF!,"=Т")</f>
        <v>#REF!</v>
      </c>
      <c r="M61" s="62" t="e">
        <f>COUNTIF(#REF!,"=Т")</f>
        <v>#REF!</v>
      </c>
      <c r="N61" s="62" t="e">
        <f>COUNTIF(#REF!,"=Т")</f>
        <v>#REF!</v>
      </c>
      <c r="O61" s="62" t="e">
        <f>COUNTIF(#REF!,"=Т")</f>
        <v>#REF!</v>
      </c>
    </row>
    <row r="62" spans="1:15" s="40" customFormat="1" ht="15.75" customHeight="1">
      <c r="A62" s="157" t="s">
        <v>256</v>
      </c>
      <c r="B62" s="158"/>
      <c r="C62" s="56" t="s">
        <v>253</v>
      </c>
      <c r="D62" s="62" t="e">
        <f>(SUMIF(#REF!,"=ТО",#REF!))*0.1</f>
        <v>#REF!</v>
      </c>
      <c r="E62" s="62" t="e">
        <f>(SUMIF(#REF!,"=ТО",#REF!))*0.1</f>
        <v>#REF!</v>
      </c>
      <c r="F62" s="62" t="e">
        <f>(SUMIF(#REF!,"=ТО",#REF!))*0.1</f>
        <v>#REF!</v>
      </c>
      <c r="G62" s="62" t="e">
        <f>(SUMIF(#REF!,"=ТО",#REF!))*0.1</f>
        <v>#REF!</v>
      </c>
      <c r="H62" s="62" t="e">
        <f>(SUMIF(#REF!,"=ТО",#REF!))*0.1</f>
        <v>#REF!</v>
      </c>
      <c r="I62" s="62" t="e">
        <f>(SUMIF(#REF!,"=ТО",#REF!))*0.1</f>
        <v>#REF!</v>
      </c>
      <c r="J62" s="62" t="e">
        <f>(SUMIF(#REF!,"=ТО",#REF!))*0.1</f>
        <v>#REF!</v>
      </c>
      <c r="K62" s="62" t="e">
        <f>(SUMIF(#REF!,"=ТО",#REF!))*0.1</f>
        <v>#REF!</v>
      </c>
      <c r="L62" s="62" t="e">
        <f>(SUMIF(#REF!,"=ТО",#REF!))*0.1</f>
        <v>#REF!</v>
      </c>
      <c r="M62" s="62" t="e">
        <f>(SUMIF(#REF!,"=ТО",#REF!))*0.1</f>
        <v>#REF!</v>
      </c>
      <c r="N62" s="62" t="e">
        <f>(SUMIF(#REF!,"=ТО",#REF!))*0.1</f>
        <v>#REF!</v>
      </c>
      <c r="O62" s="62" t="e">
        <f>(SUMIF(#REF!,"=ТО",#REF!))*0.1</f>
        <v>#REF!</v>
      </c>
    </row>
    <row r="63" spans="1:15" s="40" customFormat="1" ht="15.75" customHeight="1">
      <c r="A63" s="144"/>
      <c r="B63" s="145"/>
      <c r="C63" s="54" t="s">
        <v>254</v>
      </c>
      <c r="D63" s="62" t="e">
        <f>COUNTIF(#REF!,"=ТО")</f>
        <v>#REF!</v>
      </c>
      <c r="E63" s="62" t="e">
        <f>COUNTIF(#REF!,"=ТО")</f>
        <v>#REF!</v>
      </c>
      <c r="F63" s="62" t="e">
        <f>COUNTIF(#REF!,"=ТО")</f>
        <v>#REF!</v>
      </c>
      <c r="G63" s="62" t="e">
        <f>COUNTIF(#REF!,"=ТО")</f>
        <v>#REF!</v>
      </c>
      <c r="H63" s="62" t="e">
        <f>COUNTIF(#REF!,"=ТО")</f>
        <v>#REF!</v>
      </c>
      <c r="I63" s="62" t="e">
        <f>COUNTIF(#REF!,"=ТО")</f>
        <v>#REF!</v>
      </c>
      <c r="J63" s="62" t="e">
        <f>COUNTIF(#REF!,"=ТО")</f>
        <v>#REF!</v>
      </c>
      <c r="K63" s="62" t="e">
        <f>COUNTIF(#REF!,"=ТО")</f>
        <v>#REF!</v>
      </c>
      <c r="L63" s="62" t="e">
        <f>COUNTIF(#REF!,"=ТО")</f>
        <v>#REF!</v>
      </c>
      <c r="M63" s="62" t="e">
        <f>COUNTIF(#REF!,"=ТО")</f>
        <v>#REF!</v>
      </c>
      <c r="N63" s="62" t="e">
        <f>COUNTIF(#REF!,"=ТО")</f>
        <v>#REF!</v>
      </c>
      <c r="O63" s="62" t="e">
        <f>COUNTIF(#REF!,"=ТО")</f>
        <v>#REF!</v>
      </c>
    </row>
    <row r="64" spans="1:15" s="40" customFormat="1" ht="15.75" customHeight="1">
      <c r="A64" s="140" t="s">
        <v>257</v>
      </c>
      <c r="B64" s="141"/>
      <c r="C64" s="56" t="s">
        <v>253</v>
      </c>
      <c r="D64" s="64" t="e">
        <f aca="true" t="shared" si="12" ref="D64:O64">D58+D60+D62</f>
        <v>#REF!</v>
      </c>
      <c r="E64" s="64" t="e">
        <f t="shared" si="12"/>
        <v>#REF!</v>
      </c>
      <c r="F64" s="64" t="e">
        <f t="shared" si="12"/>
        <v>#REF!</v>
      </c>
      <c r="G64" s="64" t="e">
        <f t="shared" si="12"/>
        <v>#REF!</v>
      </c>
      <c r="H64" s="64" t="e">
        <f t="shared" si="12"/>
        <v>#REF!</v>
      </c>
      <c r="I64" s="64" t="e">
        <f t="shared" si="12"/>
        <v>#REF!</v>
      </c>
      <c r="J64" s="64" t="e">
        <f t="shared" si="12"/>
        <v>#REF!</v>
      </c>
      <c r="K64" s="64" t="e">
        <f t="shared" si="12"/>
        <v>#REF!</v>
      </c>
      <c r="L64" s="64" t="e">
        <f t="shared" si="12"/>
        <v>#REF!</v>
      </c>
      <c r="M64" s="64" t="e">
        <f t="shared" si="12"/>
        <v>#REF!</v>
      </c>
      <c r="N64" s="64" t="e">
        <f t="shared" si="12"/>
        <v>#REF!</v>
      </c>
      <c r="O64" s="64" t="e">
        <f t="shared" si="12"/>
        <v>#REF!</v>
      </c>
    </row>
    <row r="65" spans="1:15" s="40" customFormat="1" ht="15.75" customHeight="1" thickBot="1">
      <c r="A65" s="146"/>
      <c r="B65" s="147"/>
      <c r="C65" s="57" t="s">
        <v>254</v>
      </c>
      <c r="D65" s="58" t="e">
        <f aca="true" t="shared" si="13" ref="D65:O65">D59+D61+D63</f>
        <v>#REF!</v>
      </c>
      <c r="E65" s="58" t="e">
        <f t="shared" si="13"/>
        <v>#REF!</v>
      </c>
      <c r="F65" s="58" t="e">
        <f t="shared" si="13"/>
        <v>#REF!</v>
      </c>
      <c r="G65" s="58" t="e">
        <f t="shared" si="13"/>
        <v>#REF!</v>
      </c>
      <c r="H65" s="58" t="e">
        <f t="shared" si="13"/>
        <v>#REF!</v>
      </c>
      <c r="I65" s="58" t="e">
        <f t="shared" si="13"/>
        <v>#REF!</v>
      </c>
      <c r="J65" s="58" t="e">
        <f t="shared" si="13"/>
        <v>#REF!</v>
      </c>
      <c r="K65" s="58" t="e">
        <f t="shared" si="13"/>
        <v>#REF!</v>
      </c>
      <c r="L65" s="58" t="e">
        <f t="shared" si="13"/>
        <v>#REF!</v>
      </c>
      <c r="M65" s="58" t="e">
        <f t="shared" si="13"/>
        <v>#REF!</v>
      </c>
      <c r="N65" s="58" t="e">
        <f t="shared" si="13"/>
        <v>#REF!</v>
      </c>
      <c r="O65" s="58" t="e">
        <f t="shared" si="13"/>
        <v>#REF!</v>
      </c>
    </row>
    <row r="66" spans="1:15" ht="21" customHeight="1" thickBot="1">
      <c r="A66" s="148" t="s">
        <v>368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50"/>
    </row>
    <row r="67" spans="1:15" s="40" customFormat="1" ht="15.75" customHeight="1">
      <c r="A67" s="138" t="s">
        <v>252</v>
      </c>
      <c r="B67" s="139"/>
      <c r="C67" s="52" t="s">
        <v>253</v>
      </c>
      <c r="D67" s="53" t="e">
        <f>SUMIF(#REF!,"=К",#REF!)</f>
        <v>#REF!</v>
      </c>
      <c r="E67" s="53" t="e">
        <f>SUMIF(#REF!,"=К",#REF!)</f>
        <v>#REF!</v>
      </c>
      <c r="F67" s="53" t="e">
        <f>SUMIF(#REF!,"=К",#REF!)</f>
        <v>#REF!</v>
      </c>
      <c r="G67" s="53" t="e">
        <f>SUMIF(#REF!,"=К",#REF!)</f>
        <v>#REF!</v>
      </c>
      <c r="H67" s="53" t="e">
        <f>SUMIF(#REF!,"=К",#REF!)</f>
        <v>#REF!</v>
      </c>
      <c r="I67" s="53" t="e">
        <f>SUMIF(#REF!,"=К",#REF!)</f>
        <v>#REF!</v>
      </c>
      <c r="J67" s="53" t="e">
        <f>SUMIF(#REF!,"=К",#REF!)</f>
        <v>#REF!</v>
      </c>
      <c r="K67" s="53" t="e">
        <f>SUMIF(#REF!,"=К",#REF!)</f>
        <v>#REF!</v>
      </c>
      <c r="L67" s="53" t="e">
        <f>SUMIF(#REF!,"=К",#REF!)</f>
        <v>#REF!</v>
      </c>
      <c r="M67" s="53" t="e">
        <f>SUMIF(#REF!,"=К",#REF!)</f>
        <v>#REF!</v>
      </c>
      <c r="N67" s="53" t="e">
        <f>SUMIF(#REF!,"=К",#REF!)</f>
        <v>#REF!</v>
      </c>
      <c r="O67" s="53" t="e">
        <f>SUMIF(#REF!,"=К",#REF!)</f>
        <v>#REF!</v>
      </c>
    </row>
    <row r="68" spans="1:15" s="40" customFormat="1" ht="15.75" customHeight="1">
      <c r="A68" s="140"/>
      <c r="B68" s="141"/>
      <c r="C68" s="54" t="s">
        <v>254</v>
      </c>
      <c r="D68" s="62" t="e">
        <f>COUNTIF(#REF!,"=К")</f>
        <v>#REF!</v>
      </c>
      <c r="E68" s="62" t="e">
        <f>COUNTIF(#REF!,"=К")</f>
        <v>#REF!</v>
      </c>
      <c r="F68" s="62" t="e">
        <f>COUNTIF(#REF!,"=К")</f>
        <v>#REF!</v>
      </c>
      <c r="G68" s="62" t="e">
        <f>COUNTIF(#REF!,"=К")</f>
        <v>#REF!</v>
      </c>
      <c r="H68" s="62" t="e">
        <f>COUNTIF(#REF!,"=К")</f>
        <v>#REF!</v>
      </c>
      <c r="I68" s="62" t="e">
        <f>COUNTIF(#REF!,"=К")</f>
        <v>#REF!</v>
      </c>
      <c r="J68" s="62" t="e">
        <f>COUNTIF(#REF!,"=К")</f>
        <v>#REF!</v>
      </c>
      <c r="K68" s="62" t="e">
        <f>COUNTIF(#REF!,"=К")</f>
        <v>#REF!</v>
      </c>
      <c r="L68" s="62" t="e">
        <f>COUNTIF(#REF!,"=К")</f>
        <v>#REF!</v>
      </c>
      <c r="M68" s="62" t="e">
        <f>COUNTIF(#REF!,"=К")</f>
        <v>#REF!</v>
      </c>
      <c r="N68" s="62" t="e">
        <f>COUNTIF(#REF!,"=К")</f>
        <v>#REF!</v>
      </c>
      <c r="O68" s="62" t="e">
        <f>COUNTIF(#REF!,"=К")</f>
        <v>#REF!</v>
      </c>
    </row>
    <row r="69" spans="1:15" s="40" customFormat="1" ht="15.75" customHeight="1">
      <c r="A69" s="142" t="s">
        <v>255</v>
      </c>
      <c r="B69" s="143"/>
      <c r="C69" s="56" t="s">
        <v>253</v>
      </c>
      <c r="D69" s="62" t="e">
        <f>SUMIF(#REF!,"=Т",#REF!)</f>
        <v>#REF!</v>
      </c>
      <c r="E69" s="62" t="e">
        <f>SUMIF(#REF!,"=Т",#REF!)</f>
        <v>#REF!</v>
      </c>
      <c r="F69" s="62" t="e">
        <f>SUMIF(#REF!,"=Т",#REF!)</f>
        <v>#REF!</v>
      </c>
      <c r="G69" s="62" t="e">
        <f>SUMIF(#REF!,"=Т",#REF!)</f>
        <v>#REF!</v>
      </c>
      <c r="H69" s="62" t="e">
        <f>SUMIF(#REF!,"=Т",#REF!)</f>
        <v>#REF!</v>
      </c>
      <c r="I69" s="62" t="e">
        <f>SUMIF(#REF!,"=Т",#REF!)</f>
        <v>#REF!</v>
      </c>
      <c r="J69" s="62" t="e">
        <f>SUMIF(#REF!,"=Т",#REF!)</f>
        <v>#REF!</v>
      </c>
      <c r="K69" s="62" t="e">
        <f>SUMIF(#REF!,"=Т",#REF!)</f>
        <v>#REF!</v>
      </c>
      <c r="L69" s="62" t="e">
        <f>SUMIF(#REF!,"=Т",#REF!)</f>
        <v>#REF!</v>
      </c>
      <c r="M69" s="62" t="e">
        <f>SUMIF(#REF!,"=Т",#REF!)</f>
        <v>#REF!</v>
      </c>
      <c r="N69" s="62" t="e">
        <f>SUMIF(#REF!,"=Т",#REF!)</f>
        <v>#REF!</v>
      </c>
      <c r="O69" s="62" t="e">
        <f>SUMIF(#REF!,"=Т",#REF!)</f>
        <v>#REF!</v>
      </c>
    </row>
    <row r="70" spans="1:15" s="40" customFormat="1" ht="15.75" customHeight="1">
      <c r="A70" s="142"/>
      <c r="B70" s="143"/>
      <c r="C70" s="54" t="s">
        <v>254</v>
      </c>
      <c r="D70" s="62" t="e">
        <f>COUNTIF(#REF!,"=Т")</f>
        <v>#REF!</v>
      </c>
      <c r="E70" s="62" t="e">
        <f>COUNTIF(#REF!,"=Т")</f>
        <v>#REF!</v>
      </c>
      <c r="F70" s="62" t="e">
        <f>COUNTIF(#REF!,"=Т")</f>
        <v>#REF!</v>
      </c>
      <c r="G70" s="62" t="e">
        <f>COUNTIF(#REF!,"=Т")</f>
        <v>#REF!</v>
      </c>
      <c r="H70" s="62" t="e">
        <f>COUNTIF(#REF!,"=Т")</f>
        <v>#REF!</v>
      </c>
      <c r="I70" s="62" t="e">
        <f>COUNTIF(#REF!,"=Т")</f>
        <v>#REF!</v>
      </c>
      <c r="J70" s="62" t="e">
        <f>COUNTIF(#REF!,"=Т")</f>
        <v>#REF!</v>
      </c>
      <c r="K70" s="62" t="e">
        <f>COUNTIF(#REF!,"=Т")</f>
        <v>#REF!</v>
      </c>
      <c r="L70" s="62" t="e">
        <f>COUNTIF(#REF!,"=Т")</f>
        <v>#REF!</v>
      </c>
      <c r="M70" s="62" t="e">
        <f>COUNTIF(#REF!,"=Т")</f>
        <v>#REF!</v>
      </c>
      <c r="N70" s="62" t="e">
        <f>COUNTIF(#REF!,"=Т")</f>
        <v>#REF!</v>
      </c>
      <c r="O70" s="62" t="e">
        <f>COUNTIF(#REF!,"=Т")</f>
        <v>#REF!</v>
      </c>
    </row>
    <row r="71" spans="1:15" s="40" customFormat="1" ht="15.75" customHeight="1">
      <c r="A71" s="157" t="s">
        <v>256</v>
      </c>
      <c r="B71" s="158"/>
      <c r="C71" s="56" t="s">
        <v>253</v>
      </c>
      <c r="D71" s="62" t="e">
        <f>(SUMIF(#REF!,"=ТО",#REF!))*0.1</f>
        <v>#REF!</v>
      </c>
      <c r="E71" s="62" t="e">
        <f>(SUMIF(#REF!,"=ТО",#REF!))*0.1</f>
        <v>#REF!</v>
      </c>
      <c r="F71" s="62" t="e">
        <f>(SUMIF(#REF!,"=ТО",#REF!))*0.1</f>
        <v>#REF!</v>
      </c>
      <c r="G71" s="62" t="e">
        <f>(SUMIF(#REF!,"=ТО",#REF!))*0.1</f>
        <v>#REF!</v>
      </c>
      <c r="H71" s="62" t="e">
        <f>(SUMIF(#REF!,"=ТО",#REF!))*0.1</f>
        <v>#REF!</v>
      </c>
      <c r="I71" s="62" t="e">
        <f>(SUMIF(#REF!,"=ТО",#REF!))*0.1</f>
        <v>#REF!</v>
      </c>
      <c r="J71" s="62" t="e">
        <f>(SUMIF(#REF!,"=ТО",#REF!))*0.1</f>
        <v>#REF!</v>
      </c>
      <c r="K71" s="62" t="e">
        <f>(SUMIF(#REF!,"=ТО",#REF!))*0.1</f>
        <v>#REF!</v>
      </c>
      <c r="L71" s="62" t="e">
        <f>(SUMIF(#REF!,"=ТО",#REF!))*0.1</f>
        <v>#REF!</v>
      </c>
      <c r="M71" s="62" t="e">
        <f>(SUMIF(#REF!,"=ТО",#REF!))*0.1</f>
        <v>#REF!</v>
      </c>
      <c r="N71" s="62" t="e">
        <f>(SUMIF(#REF!,"=ТО",#REF!))*0.1</f>
        <v>#REF!</v>
      </c>
      <c r="O71" s="62" t="e">
        <f>(SUMIF(#REF!,"=ТО",#REF!))*0.1</f>
        <v>#REF!</v>
      </c>
    </row>
    <row r="72" spans="1:15" s="40" customFormat="1" ht="15.75" customHeight="1">
      <c r="A72" s="144"/>
      <c r="B72" s="145"/>
      <c r="C72" s="54" t="s">
        <v>254</v>
      </c>
      <c r="D72" s="62" t="e">
        <f>COUNTIF(#REF!,"=ТО")</f>
        <v>#REF!</v>
      </c>
      <c r="E72" s="62" t="e">
        <f>COUNTIF(#REF!,"=ТО")</f>
        <v>#REF!</v>
      </c>
      <c r="F72" s="62" t="e">
        <f>COUNTIF(#REF!,"=ТО")</f>
        <v>#REF!</v>
      </c>
      <c r="G72" s="62" t="e">
        <f>COUNTIF(#REF!,"=ТО")</f>
        <v>#REF!</v>
      </c>
      <c r="H72" s="62" t="e">
        <f>COUNTIF(#REF!,"=ТО")</f>
        <v>#REF!</v>
      </c>
      <c r="I72" s="62" t="e">
        <f>COUNTIF(#REF!,"=ТО")</f>
        <v>#REF!</v>
      </c>
      <c r="J72" s="62" t="e">
        <f>COUNTIF(#REF!,"=ТО")</f>
        <v>#REF!</v>
      </c>
      <c r="K72" s="62" t="e">
        <f>COUNTIF(#REF!,"=ТО")</f>
        <v>#REF!</v>
      </c>
      <c r="L72" s="62" t="e">
        <f>COUNTIF(#REF!,"=ТО")</f>
        <v>#REF!</v>
      </c>
      <c r="M72" s="62" t="e">
        <f>COUNTIF(#REF!,"=ТО")</f>
        <v>#REF!</v>
      </c>
      <c r="N72" s="62" t="e">
        <f>COUNTIF(#REF!,"=ТО")</f>
        <v>#REF!</v>
      </c>
      <c r="O72" s="62" t="e">
        <f>COUNTIF(#REF!,"=ТО")</f>
        <v>#REF!</v>
      </c>
    </row>
    <row r="73" spans="1:15" s="40" customFormat="1" ht="15.75" customHeight="1">
      <c r="A73" s="140" t="s">
        <v>257</v>
      </c>
      <c r="B73" s="141"/>
      <c r="C73" s="56" t="s">
        <v>253</v>
      </c>
      <c r="D73" s="64" t="e">
        <f aca="true" t="shared" si="14" ref="D73:O73">D67+D69+D71</f>
        <v>#REF!</v>
      </c>
      <c r="E73" s="64" t="e">
        <f t="shared" si="14"/>
        <v>#REF!</v>
      </c>
      <c r="F73" s="64" t="e">
        <f t="shared" si="14"/>
        <v>#REF!</v>
      </c>
      <c r="G73" s="64" t="e">
        <f t="shared" si="14"/>
        <v>#REF!</v>
      </c>
      <c r="H73" s="64" t="e">
        <f t="shared" si="14"/>
        <v>#REF!</v>
      </c>
      <c r="I73" s="64" t="e">
        <f t="shared" si="14"/>
        <v>#REF!</v>
      </c>
      <c r="J73" s="64" t="e">
        <f t="shared" si="14"/>
        <v>#REF!</v>
      </c>
      <c r="K73" s="64" t="e">
        <f t="shared" si="14"/>
        <v>#REF!</v>
      </c>
      <c r="L73" s="64" t="e">
        <f t="shared" si="14"/>
        <v>#REF!</v>
      </c>
      <c r="M73" s="64" t="e">
        <f t="shared" si="14"/>
        <v>#REF!</v>
      </c>
      <c r="N73" s="64" t="e">
        <f t="shared" si="14"/>
        <v>#REF!</v>
      </c>
      <c r="O73" s="64" t="e">
        <f t="shared" si="14"/>
        <v>#REF!</v>
      </c>
    </row>
    <row r="74" spans="1:15" s="40" customFormat="1" ht="15.75" customHeight="1" thickBot="1">
      <c r="A74" s="146"/>
      <c r="B74" s="147"/>
      <c r="C74" s="57" t="s">
        <v>254</v>
      </c>
      <c r="D74" s="58" t="e">
        <f aca="true" t="shared" si="15" ref="D74:O74">D68+D70+D72</f>
        <v>#REF!</v>
      </c>
      <c r="E74" s="58" t="e">
        <f t="shared" si="15"/>
        <v>#REF!</v>
      </c>
      <c r="F74" s="58" t="e">
        <f t="shared" si="15"/>
        <v>#REF!</v>
      </c>
      <c r="G74" s="58" t="e">
        <f t="shared" si="15"/>
        <v>#REF!</v>
      </c>
      <c r="H74" s="58" t="e">
        <f t="shared" si="15"/>
        <v>#REF!</v>
      </c>
      <c r="I74" s="58" t="e">
        <f t="shared" si="15"/>
        <v>#REF!</v>
      </c>
      <c r="J74" s="58" t="e">
        <f t="shared" si="15"/>
        <v>#REF!</v>
      </c>
      <c r="K74" s="58" t="e">
        <f t="shared" si="15"/>
        <v>#REF!</v>
      </c>
      <c r="L74" s="58" t="e">
        <f t="shared" si="15"/>
        <v>#REF!</v>
      </c>
      <c r="M74" s="58" t="e">
        <f t="shared" si="15"/>
        <v>#REF!</v>
      </c>
      <c r="N74" s="58" t="e">
        <f t="shared" si="15"/>
        <v>#REF!</v>
      </c>
      <c r="O74" s="58" t="e">
        <f t="shared" si="15"/>
        <v>#REF!</v>
      </c>
    </row>
    <row r="75" spans="1:15" ht="15.75" thickBot="1">
      <c r="A75" s="151" t="s">
        <v>384</v>
      </c>
      <c r="B75" s="152"/>
      <c r="C75" s="153"/>
      <c r="D75" s="83" t="s">
        <v>240</v>
      </c>
      <c r="E75" s="83" t="s">
        <v>241</v>
      </c>
      <c r="F75" s="83" t="s">
        <v>242</v>
      </c>
      <c r="G75" s="83" t="s">
        <v>243</v>
      </c>
      <c r="H75" s="83" t="s">
        <v>244</v>
      </c>
      <c r="I75" s="83" t="s">
        <v>245</v>
      </c>
      <c r="J75" s="83" t="s">
        <v>246</v>
      </c>
      <c r="K75" s="83" t="s">
        <v>247</v>
      </c>
      <c r="L75" s="83" t="s">
        <v>248</v>
      </c>
      <c r="M75" s="83" t="s">
        <v>249</v>
      </c>
      <c r="N75" s="83" t="s">
        <v>250</v>
      </c>
      <c r="O75" s="83" t="s">
        <v>251</v>
      </c>
    </row>
    <row r="76" spans="1:15" ht="21" customHeight="1" thickBot="1">
      <c r="A76" s="148" t="s">
        <v>378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50"/>
    </row>
    <row r="77" spans="1:15" s="40" customFormat="1" ht="15.75" customHeight="1">
      <c r="A77" s="159" t="s">
        <v>252</v>
      </c>
      <c r="B77" s="160"/>
      <c r="C77" s="52" t="s">
        <v>253</v>
      </c>
      <c r="D77" s="53" t="e">
        <f>SUMIF(#REF!,"=К",#REF!)</f>
        <v>#REF!</v>
      </c>
      <c r="E77" s="53" t="e">
        <f>SUMIF(#REF!,"=К",#REF!)</f>
        <v>#REF!</v>
      </c>
      <c r="F77" s="53" t="e">
        <f>SUMIF(#REF!,"=К",#REF!)</f>
        <v>#REF!</v>
      </c>
      <c r="G77" s="53" t="e">
        <f>SUMIF(#REF!,"=К",#REF!)</f>
        <v>#REF!</v>
      </c>
      <c r="H77" s="53" t="e">
        <f>SUMIF(#REF!,"=К",#REF!)</f>
        <v>#REF!</v>
      </c>
      <c r="I77" s="53" t="e">
        <f>SUMIF(#REF!,"=К",#REF!)</f>
        <v>#REF!</v>
      </c>
      <c r="J77" s="53" t="e">
        <f>SUMIF(#REF!,"=К",#REF!)</f>
        <v>#REF!</v>
      </c>
      <c r="K77" s="53" t="e">
        <f>SUMIF(#REF!,"=К",#REF!)</f>
        <v>#REF!</v>
      </c>
      <c r="L77" s="53" t="e">
        <f>SUMIF(#REF!,"=К",#REF!)</f>
        <v>#REF!</v>
      </c>
      <c r="M77" s="53" t="e">
        <f>SUMIF(#REF!,"=К",#REF!)</f>
        <v>#REF!</v>
      </c>
      <c r="N77" s="53" t="e">
        <f>SUMIF(#REF!,"=К",#REF!)</f>
        <v>#REF!</v>
      </c>
      <c r="O77" s="53" t="e">
        <f>SUMIF(#REF!,"=К",#REF!)</f>
        <v>#REF!</v>
      </c>
    </row>
    <row r="78" spans="1:15" s="40" customFormat="1" ht="15.75" customHeight="1" thickBot="1">
      <c r="A78" s="142"/>
      <c r="B78" s="143"/>
      <c r="C78" s="54" t="s">
        <v>254</v>
      </c>
      <c r="D78" s="63" t="e">
        <f>COUNTIF(#REF!,"=К")</f>
        <v>#REF!</v>
      </c>
      <c r="E78" s="63" t="e">
        <f>COUNTIF(#REF!,"=К")</f>
        <v>#REF!</v>
      </c>
      <c r="F78" s="63" t="e">
        <f>COUNTIF(#REF!,"=К")</f>
        <v>#REF!</v>
      </c>
      <c r="G78" s="63" t="e">
        <f>COUNTIF(#REF!,"=К")</f>
        <v>#REF!</v>
      </c>
      <c r="H78" s="63" t="e">
        <f>COUNTIF(#REF!,"=К")</f>
        <v>#REF!</v>
      </c>
      <c r="I78" s="63" t="e">
        <f>COUNTIF(#REF!,"=К")</f>
        <v>#REF!</v>
      </c>
      <c r="J78" s="63" t="e">
        <f>COUNTIF(#REF!,"=К")</f>
        <v>#REF!</v>
      </c>
      <c r="K78" s="63" t="e">
        <f>COUNTIF(#REF!,"=К")</f>
        <v>#REF!</v>
      </c>
      <c r="L78" s="63" t="e">
        <f>COUNTIF(#REF!,"=К")</f>
        <v>#REF!</v>
      </c>
      <c r="M78" s="63" t="e">
        <f>COUNTIF(#REF!,"=К")</f>
        <v>#REF!</v>
      </c>
      <c r="N78" s="63" t="e">
        <f>COUNTIF(#REF!,"=К")</f>
        <v>#REF!</v>
      </c>
      <c r="O78" s="63" t="e">
        <f>COUNTIF(#REF!,"=К")</f>
        <v>#REF!</v>
      </c>
    </row>
    <row r="79" spans="1:15" s="40" customFormat="1" ht="15.75" customHeight="1">
      <c r="A79" s="159" t="s">
        <v>255</v>
      </c>
      <c r="B79" s="160"/>
      <c r="C79" s="52" t="s">
        <v>253</v>
      </c>
      <c r="D79" s="53" t="e">
        <f>SUMIF(#REF!,"=Т",#REF!)</f>
        <v>#REF!</v>
      </c>
      <c r="E79" s="53" t="e">
        <f>SUMIF(#REF!,"=Т",#REF!)</f>
        <v>#REF!</v>
      </c>
      <c r="F79" s="53" t="e">
        <f>SUMIF(#REF!,"=Т",#REF!)</f>
        <v>#REF!</v>
      </c>
      <c r="G79" s="53" t="e">
        <f>SUMIF(#REF!,"=Т",#REF!)</f>
        <v>#REF!</v>
      </c>
      <c r="H79" s="53" t="e">
        <f>SUMIF(#REF!,"=Т",#REF!)</f>
        <v>#REF!</v>
      </c>
      <c r="I79" s="53" t="e">
        <f>SUMIF(#REF!,"=Т",#REF!)</f>
        <v>#REF!</v>
      </c>
      <c r="J79" s="53" t="e">
        <f>SUMIF(#REF!,"=Т",#REF!)</f>
        <v>#REF!</v>
      </c>
      <c r="K79" s="53" t="e">
        <f>SUMIF(#REF!,"=Т",#REF!)</f>
        <v>#REF!</v>
      </c>
      <c r="L79" s="53" t="e">
        <f>SUMIF(#REF!,"=Т",#REF!)</f>
        <v>#REF!</v>
      </c>
      <c r="M79" s="53" t="e">
        <f>SUMIF(#REF!,"=Т",#REF!)</f>
        <v>#REF!</v>
      </c>
      <c r="N79" s="53" t="e">
        <f>SUMIF(#REF!,"=Т",#REF!)</f>
        <v>#REF!</v>
      </c>
      <c r="O79" s="53" t="e">
        <f>SUMIF(#REF!,"=Т",#REF!)</f>
        <v>#REF!</v>
      </c>
    </row>
    <row r="80" spans="1:15" s="40" customFormat="1" ht="15.75" customHeight="1">
      <c r="A80" s="142"/>
      <c r="B80" s="143"/>
      <c r="C80" s="54" t="s">
        <v>254</v>
      </c>
      <c r="D80" s="63" t="e">
        <f>COUNTIF(#REF!,"=Т")</f>
        <v>#REF!</v>
      </c>
      <c r="E80" s="63" t="e">
        <f>COUNTIF(#REF!,"=Т")</f>
        <v>#REF!</v>
      </c>
      <c r="F80" s="63" t="e">
        <f>COUNTIF(#REF!,"=Т")</f>
        <v>#REF!</v>
      </c>
      <c r="G80" s="63" t="e">
        <f>COUNTIF(#REF!,"=Т")</f>
        <v>#REF!</v>
      </c>
      <c r="H80" s="63" t="e">
        <f>COUNTIF(#REF!,"=Т")</f>
        <v>#REF!</v>
      </c>
      <c r="I80" s="63" t="e">
        <f>COUNTIF(#REF!,"=Т")</f>
        <v>#REF!</v>
      </c>
      <c r="J80" s="63" t="e">
        <f>COUNTIF(#REF!,"=Т")</f>
        <v>#REF!</v>
      </c>
      <c r="K80" s="63" t="e">
        <f>COUNTIF(#REF!,"=Т")</f>
        <v>#REF!</v>
      </c>
      <c r="L80" s="63" t="e">
        <f>COUNTIF(#REF!,"=Т")</f>
        <v>#REF!</v>
      </c>
      <c r="M80" s="63" t="e">
        <f>COUNTIF(#REF!,"=Т")</f>
        <v>#REF!</v>
      </c>
      <c r="N80" s="63" t="e">
        <f>COUNTIF(#REF!,"=Т")</f>
        <v>#REF!</v>
      </c>
      <c r="O80" s="63" t="e">
        <f>COUNTIF(#REF!,"=Т")</f>
        <v>#REF!</v>
      </c>
    </row>
    <row r="81" spans="1:15" s="40" customFormat="1" ht="15.75" customHeight="1">
      <c r="A81" s="157" t="s">
        <v>256</v>
      </c>
      <c r="B81" s="158"/>
      <c r="C81" s="56" t="s">
        <v>253</v>
      </c>
      <c r="D81" s="55" t="e">
        <f>(SUMIF(#REF!,"=ТО",#REF!))*0.1</f>
        <v>#REF!</v>
      </c>
      <c r="E81" s="55" t="e">
        <f>(SUMIF(#REF!,"=ТО",#REF!))*0.1</f>
        <v>#REF!</v>
      </c>
      <c r="F81" s="55" t="e">
        <f>(SUMIF(#REF!,"=ТО",#REF!))*0.1</f>
        <v>#REF!</v>
      </c>
      <c r="G81" s="55" t="e">
        <f>(SUMIF(#REF!,"=ТО",#REF!))*0.1</f>
        <v>#REF!</v>
      </c>
      <c r="H81" s="55" t="e">
        <f>(SUMIF(#REF!,"=ТО",#REF!))*0.1</f>
        <v>#REF!</v>
      </c>
      <c r="I81" s="55" t="e">
        <f>(SUMIF(#REF!,"=ТО",#REF!))*0.1</f>
        <v>#REF!</v>
      </c>
      <c r="J81" s="55" t="e">
        <f>(SUMIF(#REF!,"=ТО",#REF!))*0.1</f>
        <v>#REF!</v>
      </c>
      <c r="K81" s="55" t="e">
        <f>(SUMIF(#REF!,"=ТО",#REF!))*0.1</f>
        <v>#REF!</v>
      </c>
      <c r="L81" s="55" t="e">
        <f>(SUMIF(#REF!,"=ТО",#REF!))*0.1</f>
        <v>#REF!</v>
      </c>
      <c r="M81" s="55" t="e">
        <f>(SUMIF(#REF!,"=ТО",#REF!))*0.1</f>
        <v>#REF!</v>
      </c>
      <c r="N81" s="55" t="e">
        <f>(SUMIF(#REF!,"=ТО",#REF!))*0.1</f>
        <v>#REF!</v>
      </c>
      <c r="O81" s="55" t="e">
        <f>(SUMIF(#REF!,"=ТО",#REF!))*0.1</f>
        <v>#REF!</v>
      </c>
    </row>
    <row r="82" spans="1:15" s="40" customFormat="1" ht="15.75" customHeight="1">
      <c r="A82" s="144"/>
      <c r="B82" s="145"/>
      <c r="C82" s="54" t="s">
        <v>254</v>
      </c>
      <c r="D82" s="63" t="e">
        <f>COUNTIF(#REF!,"=ТО")</f>
        <v>#REF!</v>
      </c>
      <c r="E82" s="63" t="e">
        <f>COUNTIF(#REF!,"=ТО")</f>
        <v>#REF!</v>
      </c>
      <c r="F82" s="63" t="e">
        <f>COUNTIF(#REF!,"=ТО")</f>
        <v>#REF!</v>
      </c>
      <c r="G82" s="63" t="e">
        <f>COUNTIF(#REF!,"=ТО")</f>
        <v>#REF!</v>
      </c>
      <c r="H82" s="63" t="e">
        <f>COUNTIF(#REF!,"=ТО")</f>
        <v>#REF!</v>
      </c>
      <c r="I82" s="63" t="e">
        <f>COUNTIF(#REF!,"=ТО")</f>
        <v>#REF!</v>
      </c>
      <c r="J82" s="63" t="e">
        <f>COUNTIF(#REF!,"=ТО")</f>
        <v>#REF!</v>
      </c>
      <c r="K82" s="63" t="e">
        <f>COUNTIF(#REF!,"=ТО")</f>
        <v>#REF!</v>
      </c>
      <c r="L82" s="63" t="e">
        <f>COUNTIF(#REF!,"=ТО")</f>
        <v>#REF!</v>
      </c>
      <c r="M82" s="63" t="e">
        <f>COUNTIF(#REF!,"=ТО")</f>
        <v>#REF!</v>
      </c>
      <c r="N82" s="63" t="e">
        <f>COUNTIF(#REF!,"=ТО")</f>
        <v>#REF!</v>
      </c>
      <c r="O82" s="63" t="e">
        <f>COUNTIF(#REF!,"=ТО")</f>
        <v>#REF!</v>
      </c>
    </row>
    <row r="83" spans="1:15" s="40" customFormat="1" ht="15.75" customHeight="1">
      <c r="A83" s="140" t="s">
        <v>257</v>
      </c>
      <c r="B83" s="141"/>
      <c r="C83" s="56" t="s">
        <v>253</v>
      </c>
      <c r="D83" s="65" t="e">
        <f aca="true" t="shared" si="16" ref="D83:O83">D77+D79+D81</f>
        <v>#REF!</v>
      </c>
      <c r="E83" s="65" t="e">
        <f t="shared" si="16"/>
        <v>#REF!</v>
      </c>
      <c r="F83" s="65" t="e">
        <f t="shared" si="16"/>
        <v>#REF!</v>
      </c>
      <c r="G83" s="65" t="e">
        <f t="shared" si="16"/>
        <v>#REF!</v>
      </c>
      <c r="H83" s="65" t="e">
        <f t="shared" si="16"/>
        <v>#REF!</v>
      </c>
      <c r="I83" s="65" t="e">
        <f t="shared" si="16"/>
        <v>#REF!</v>
      </c>
      <c r="J83" s="65" t="e">
        <f t="shared" si="16"/>
        <v>#REF!</v>
      </c>
      <c r="K83" s="65" t="e">
        <f t="shared" si="16"/>
        <v>#REF!</v>
      </c>
      <c r="L83" s="65" t="e">
        <f t="shared" si="16"/>
        <v>#REF!</v>
      </c>
      <c r="M83" s="65" t="e">
        <f t="shared" si="16"/>
        <v>#REF!</v>
      </c>
      <c r="N83" s="65" t="e">
        <f t="shared" si="16"/>
        <v>#REF!</v>
      </c>
      <c r="O83" s="65" t="e">
        <f t="shared" si="16"/>
        <v>#REF!</v>
      </c>
    </row>
    <row r="84" spans="1:15" s="40" customFormat="1" ht="15.75" customHeight="1" thickBot="1">
      <c r="A84" s="146"/>
      <c r="B84" s="147"/>
      <c r="C84" s="57" t="s">
        <v>254</v>
      </c>
      <c r="D84" s="58" t="e">
        <f aca="true" t="shared" si="17" ref="D84:O84">D78+D80+D82</f>
        <v>#REF!</v>
      </c>
      <c r="E84" s="58" t="e">
        <f t="shared" si="17"/>
        <v>#REF!</v>
      </c>
      <c r="F84" s="58" t="e">
        <f t="shared" si="17"/>
        <v>#REF!</v>
      </c>
      <c r="G84" s="58" t="e">
        <f t="shared" si="17"/>
        <v>#REF!</v>
      </c>
      <c r="H84" s="58" t="e">
        <f t="shared" si="17"/>
        <v>#REF!</v>
      </c>
      <c r="I84" s="58" t="e">
        <f t="shared" si="17"/>
        <v>#REF!</v>
      </c>
      <c r="J84" s="58" t="e">
        <f t="shared" si="17"/>
        <v>#REF!</v>
      </c>
      <c r="K84" s="58" t="e">
        <f t="shared" si="17"/>
        <v>#REF!</v>
      </c>
      <c r="L84" s="58" t="e">
        <f t="shared" si="17"/>
        <v>#REF!</v>
      </c>
      <c r="M84" s="58" t="e">
        <f t="shared" si="17"/>
        <v>#REF!</v>
      </c>
      <c r="N84" s="58" t="e">
        <f t="shared" si="17"/>
        <v>#REF!</v>
      </c>
      <c r="O84" s="58" t="e">
        <f t="shared" si="17"/>
        <v>#REF!</v>
      </c>
    </row>
    <row r="85" spans="1:15" ht="21" customHeight="1" thickBot="1">
      <c r="A85" s="148" t="s">
        <v>379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50"/>
    </row>
    <row r="86" spans="1:15" s="40" customFormat="1" ht="15.75" customHeight="1">
      <c r="A86" s="159" t="s">
        <v>252</v>
      </c>
      <c r="B86" s="160"/>
      <c r="C86" s="52" t="s">
        <v>253</v>
      </c>
      <c r="D86" s="53" t="e">
        <f>SUMIF(#REF!,"=К",#REF!)</f>
        <v>#REF!</v>
      </c>
      <c r="E86" s="53" t="e">
        <f>SUMIF(#REF!,"=К",#REF!)</f>
        <v>#REF!</v>
      </c>
      <c r="F86" s="53" t="e">
        <f>SUMIF(#REF!,"=К",#REF!)</f>
        <v>#REF!</v>
      </c>
      <c r="G86" s="53" t="e">
        <f>SUMIF(#REF!,"=К",#REF!)</f>
        <v>#REF!</v>
      </c>
      <c r="H86" s="53" t="e">
        <f>SUMIF(#REF!,"=К",#REF!)</f>
        <v>#REF!</v>
      </c>
      <c r="I86" s="53" t="e">
        <f>SUMIF(#REF!,"=К",#REF!)</f>
        <v>#REF!</v>
      </c>
      <c r="J86" s="53" t="e">
        <f>SUMIF(#REF!,"=К",#REF!)</f>
        <v>#REF!</v>
      </c>
      <c r="K86" s="53" t="e">
        <f>SUMIF(#REF!,"=К",#REF!)</f>
        <v>#REF!</v>
      </c>
      <c r="L86" s="53" t="e">
        <f>SUMIF(#REF!,"=К",#REF!)</f>
        <v>#REF!</v>
      </c>
      <c r="M86" s="53" t="e">
        <f>SUMIF(#REF!,"=К",#REF!)</f>
        <v>#REF!</v>
      </c>
      <c r="N86" s="53" t="e">
        <f>SUMIF(#REF!,"=К",#REF!)</f>
        <v>#REF!</v>
      </c>
      <c r="O86" s="53" t="e">
        <f>SUMIF(#REF!,"=К",#REF!)</f>
        <v>#REF!</v>
      </c>
    </row>
    <row r="87" spans="1:16" s="40" customFormat="1" ht="15.75" customHeight="1">
      <c r="A87" s="161"/>
      <c r="B87" s="162"/>
      <c r="C87" s="66" t="s">
        <v>254</v>
      </c>
      <c r="D87" s="67" t="e">
        <f>COUNTIF(#REF!,"=К")</f>
        <v>#REF!</v>
      </c>
      <c r="E87" s="67" t="e">
        <f>COUNTIF(#REF!,"=К")</f>
        <v>#REF!</v>
      </c>
      <c r="F87" s="67" t="e">
        <f>COUNTIF(#REF!,"=К")</f>
        <v>#REF!</v>
      </c>
      <c r="G87" s="67" t="e">
        <f>COUNTIF(#REF!,"=К")</f>
        <v>#REF!</v>
      </c>
      <c r="H87" s="67" t="e">
        <f>COUNTIF(#REF!,"=К")</f>
        <v>#REF!</v>
      </c>
      <c r="I87" s="67" t="e">
        <f>COUNTIF(#REF!,"=К")</f>
        <v>#REF!</v>
      </c>
      <c r="J87" s="67" t="e">
        <f>COUNTIF(#REF!,"=К")</f>
        <v>#REF!</v>
      </c>
      <c r="K87" s="67" t="e">
        <f>COUNTIF(#REF!,"=К")</f>
        <v>#REF!</v>
      </c>
      <c r="L87" s="67" t="e">
        <f>COUNTIF(#REF!,"=К")</f>
        <v>#REF!</v>
      </c>
      <c r="M87" s="67" t="e">
        <f>COUNTIF(#REF!,"=К")</f>
        <v>#REF!</v>
      </c>
      <c r="N87" s="67" t="e">
        <f>COUNTIF(#REF!,"=К")</f>
        <v>#REF!</v>
      </c>
      <c r="O87" s="67" t="e">
        <f>COUNTIF(#REF!,"=К")</f>
        <v>#REF!</v>
      </c>
      <c r="P87" s="41"/>
    </row>
    <row r="88" spans="1:15" s="40" customFormat="1" ht="15.75" customHeight="1">
      <c r="A88" s="142" t="s">
        <v>255</v>
      </c>
      <c r="B88" s="143"/>
      <c r="C88" s="56" t="s">
        <v>253</v>
      </c>
      <c r="D88" s="55" t="e">
        <f>SUMIF(#REF!,"=Т",#REF!)</f>
        <v>#REF!</v>
      </c>
      <c r="E88" s="55" t="e">
        <f>SUMIF(#REF!,"=Т",#REF!)</f>
        <v>#REF!</v>
      </c>
      <c r="F88" s="55" t="e">
        <f>SUMIF(#REF!,"=Т",#REF!)</f>
        <v>#REF!</v>
      </c>
      <c r="G88" s="55" t="e">
        <f>SUMIF(#REF!,"=Т",#REF!)</f>
        <v>#REF!</v>
      </c>
      <c r="H88" s="55" t="e">
        <f>SUMIF(#REF!,"=Т",#REF!)</f>
        <v>#REF!</v>
      </c>
      <c r="I88" s="55" t="e">
        <f>SUMIF(#REF!,"=Т",#REF!)</f>
        <v>#REF!</v>
      </c>
      <c r="J88" s="55" t="e">
        <f>SUMIF(#REF!,"=Т",#REF!)</f>
        <v>#REF!</v>
      </c>
      <c r="K88" s="55" t="e">
        <f>SUMIF(#REF!,"=Т",#REF!)</f>
        <v>#REF!</v>
      </c>
      <c r="L88" s="55" t="e">
        <f>SUMIF(#REF!,"=Т",#REF!)</f>
        <v>#REF!</v>
      </c>
      <c r="M88" s="55" t="e">
        <f>SUMIF(#REF!,"=Т",#REF!)</f>
        <v>#REF!</v>
      </c>
      <c r="N88" s="55" t="e">
        <f>SUMIF(#REF!,"=Т",#REF!)</f>
        <v>#REF!</v>
      </c>
      <c r="O88" s="55" t="e">
        <f>SUMIF(#REF!,"=Т",#REF!)</f>
        <v>#REF!</v>
      </c>
    </row>
    <row r="89" spans="1:16" s="40" customFormat="1" ht="15.75" customHeight="1">
      <c r="A89" s="142"/>
      <c r="B89" s="143"/>
      <c r="C89" s="54" t="s">
        <v>254</v>
      </c>
      <c r="D89" s="62" t="e">
        <f>COUNTIF(#REF!,"=Т")</f>
        <v>#REF!</v>
      </c>
      <c r="E89" s="62" t="e">
        <f>COUNTIF(#REF!,"=Т")</f>
        <v>#REF!</v>
      </c>
      <c r="F89" s="62" t="e">
        <f>COUNTIF(#REF!,"=Т")</f>
        <v>#REF!</v>
      </c>
      <c r="G89" s="62" t="e">
        <f>COUNTIF(#REF!,"=Т")</f>
        <v>#REF!</v>
      </c>
      <c r="H89" s="62" t="e">
        <f>COUNTIF(#REF!,"=Т")</f>
        <v>#REF!</v>
      </c>
      <c r="I89" s="62" t="e">
        <f>COUNTIF(#REF!,"=Т")</f>
        <v>#REF!</v>
      </c>
      <c r="J89" s="62" t="e">
        <f>COUNTIF(#REF!,"=Т")</f>
        <v>#REF!</v>
      </c>
      <c r="K89" s="62" t="e">
        <f>COUNTIF(#REF!,"=Т")</f>
        <v>#REF!</v>
      </c>
      <c r="L89" s="62" t="e">
        <f>COUNTIF(#REF!,"=Т")</f>
        <v>#REF!</v>
      </c>
      <c r="M89" s="62" t="e">
        <f>COUNTIF(#REF!,"=Т")</f>
        <v>#REF!</v>
      </c>
      <c r="N89" s="62" t="e">
        <f>COUNTIF(#REF!,"=Т")</f>
        <v>#REF!</v>
      </c>
      <c r="O89" s="62" t="e">
        <f>COUNTIF(#REF!,"=Т")</f>
        <v>#REF!</v>
      </c>
      <c r="P89" s="41"/>
    </row>
    <row r="90" spans="1:15" s="40" customFormat="1" ht="15.75" customHeight="1">
      <c r="A90" s="157" t="s">
        <v>256</v>
      </c>
      <c r="B90" s="158"/>
      <c r="C90" s="56" t="s">
        <v>253</v>
      </c>
      <c r="D90" s="55" t="e">
        <f>(SUMIF(#REF!,"=ТО",#REF!))*0.1</f>
        <v>#REF!</v>
      </c>
      <c r="E90" s="55" t="e">
        <f>(SUMIF(#REF!,"=ТО",#REF!))*0.1</f>
        <v>#REF!</v>
      </c>
      <c r="F90" s="55" t="e">
        <f>(SUMIF(#REF!,"=ТО",#REF!))*0.1</f>
        <v>#REF!</v>
      </c>
      <c r="G90" s="55" t="e">
        <f>(SUMIF(#REF!,"=ТО",#REF!))*0.1</f>
        <v>#REF!</v>
      </c>
      <c r="H90" s="55" t="e">
        <f>(SUMIF(#REF!,"=ТО",#REF!))*0.1</f>
        <v>#REF!</v>
      </c>
      <c r="I90" s="55" t="e">
        <f>(SUMIF(#REF!,"=ТО",#REF!))*0.1</f>
        <v>#REF!</v>
      </c>
      <c r="J90" s="55" t="e">
        <f>(SUMIF(#REF!,"=ТО",#REF!))*0.1</f>
        <v>#REF!</v>
      </c>
      <c r="K90" s="55" t="e">
        <f>(SUMIF(#REF!,"=ТО",#REF!))*0.1</f>
        <v>#REF!</v>
      </c>
      <c r="L90" s="55" t="e">
        <f>(SUMIF(#REF!,"=ТО",#REF!))*0.1</f>
        <v>#REF!</v>
      </c>
      <c r="M90" s="55" t="e">
        <f>(SUMIF(#REF!,"=ТО",#REF!))*0.1</f>
        <v>#REF!</v>
      </c>
      <c r="N90" s="55" t="e">
        <f>(SUMIF(#REF!,"=ТО",#REF!))*0.1</f>
        <v>#REF!</v>
      </c>
      <c r="O90" s="55" t="e">
        <f>(SUMIF(#REF!,"=ТО",#REF!))*0.1</f>
        <v>#REF!</v>
      </c>
    </row>
    <row r="91" spans="1:15" s="40" customFormat="1" ht="15.75" customHeight="1">
      <c r="A91" s="144"/>
      <c r="B91" s="145"/>
      <c r="C91" s="54" t="s">
        <v>254</v>
      </c>
      <c r="D91" s="62" t="e">
        <f>COUNTIF(#REF!,"=ТО")</f>
        <v>#REF!</v>
      </c>
      <c r="E91" s="62" t="e">
        <f>COUNTIF(#REF!,"=ТО")</f>
        <v>#REF!</v>
      </c>
      <c r="F91" s="62" t="e">
        <f>COUNTIF(#REF!,"=ТО")</f>
        <v>#REF!</v>
      </c>
      <c r="G91" s="62" t="e">
        <f>COUNTIF(#REF!,"=ТО")</f>
        <v>#REF!</v>
      </c>
      <c r="H91" s="62" t="e">
        <f>COUNTIF(#REF!,"=ТО")</f>
        <v>#REF!</v>
      </c>
      <c r="I91" s="62" t="e">
        <f>COUNTIF(#REF!,"=ТО")</f>
        <v>#REF!</v>
      </c>
      <c r="J91" s="62" t="e">
        <f>COUNTIF(#REF!,"=ТО")</f>
        <v>#REF!</v>
      </c>
      <c r="K91" s="62" t="e">
        <f>COUNTIF(#REF!,"=ТО")</f>
        <v>#REF!</v>
      </c>
      <c r="L91" s="62" t="e">
        <f>COUNTIF(#REF!,"=ТО")</f>
        <v>#REF!</v>
      </c>
      <c r="M91" s="62" t="e">
        <f>COUNTIF(#REF!,"=ТО")</f>
        <v>#REF!</v>
      </c>
      <c r="N91" s="62" t="e">
        <f>COUNTIF(#REF!,"=ТО")</f>
        <v>#REF!</v>
      </c>
      <c r="O91" s="62" t="e">
        <f>COUNTIF(#REF!,"=ТО")</f>
        <v>#REF!</v>
      </c>
    </row>
    <row r="92" spans="1:15" s="40" customFormat="1" ht="15.75" customHeight="1">
      <c r="A92" s="140" t="s">
        <v>257</v>
      </c>
      <c r="B92" s="141"/>
      <c r="C92" s="56" t="s">
        <v>253</v>
      </c>
      <c r="D92" s="64" t="e">
        <f aca="true" t="shared" si="18" ref="D92:O92">D86+D88+D90</f>
        <v>#REF!</v>
      </c>
      <c r="E92" s="64" t="e">
        <f t="shared" si="18"/>
        <v>#REF!</v>
      </c>
      <c r="F92" s="64" t="e">
        <f t="shared" si="18"/>
        <v>#REF!</v>
      </c>
      <c r="G92" s="64" t="e">
        <f t="shared" si="18"/>
        <v>#REF!</v>
      </c>
      <c r="H92" s="64" t="e">
        <f t="shared" si="18"/>
        <v>#REF!</v>
      </c>
      <c r="I92" s="64" t="e">
        <f t="shared" si="18"/>
        <v>#REF!</v>
      </c>
      <c r="J92" s="64" t="e">
        <f t="shared" si="18"/>
        <v>#REF!</v>
      </c>
      <c r="K92" s="64" t="e">
        <f t="shared" si="18"/>
        <v>#REF!</v>
      </c>
      <c r="L92" s="64" t="e">
        <f t="shared" si="18"/>
        <v>#REF!</v>
      </c>
      <c r="M92" s="64" t="e">
        <f t="shared" si="18"/>
        <v>#REF!</v>
      </c>
      <c r="N92" s="64" t="e">
        <f t="shared" si="18"/>
        <v>#REF!</v>
      </c>
      <c r="O92" s="64" t="e">
        <f t="shared" si="18"/>
        <v>#REF!</v>
      </c>
    </row>
    <row r="93" spans="1:15" s="40" customFormat="1" ht="15.75" customHeight="1" thickBot="1">
      <c r="A93" s="146"/>
      <c r="B93" s="147"/>
      <c r="C93" s="57" t="s">
        <v>254</v>
      </c>
      <c r="D93" s="58" t="e">
        <f aca="true" t="shared" si="19" ref="D93:O93">D87+D89+D91</f>
        <v>#REF!</v>
      </c>
      <c r="E93" s="58" t="e">
        <f t="shared" si="19"/>
        <v>#REF!</v>
      </c>
      <c r="F93" s="58" t="e">
        <f t="shared" si="19"/>
        <v>#REF!</v>
      </c>
      <c r="G93" s="58" t="e">
        <f t="shared" si="19"/>
        <v>#REF!</v>
      </c>
      <c r="H93" s="58" t="e">
        <f t="shared" si="19"/>
        <v>#REF!</v>
      </c>
      <c r="I93" s="58" t="e">
        <f t="shared" si="19"/>
        <v>#REF!</v>
      </c>
      <c r="J93" s="58" t="e">
        <f t="shared" si="19"/>
        <v>#REF!</v>
      </c>
      <c r="K93" s="58" t="e">
        <f t="shared" si="19"/>
        <v>#REF!</v>
      </c>
      <c r="L93" s="58" t="e">
        <f t="shared" si="19"/>
        <v>#REF!</v>
      </c>
      <c r="M93" s="58" t="e">
        <f t="shared" si="19"/>
        <v>#REF!</v>
      </c>
      <c r="N93" s="58" t="e">
        <f t="shared" si="19"/>
        <v>#REF!</v>
      </c>
      <c r="O93" s="58" t="e">
        <f t="shared" si="19"/>
        <v>#REF!</v>
      </c>
    </row>
    <row r="94" spans="1:15" ht="21" customHeight="1" thickBot="1">
      <c r="A94" s="148" t="s">
        <v>381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</row>
    <row r="95" spans="1:15" s="40" customFormat="1" ht="15.75" customHeight="1">
      <c r="A95" s="138" t="s">
        <v>252</v>
      </c>
      <c r="B95" s="139"/>
      <c r="C95" s="52" t="s">
        <v>253</v>
      </c>
      <c r="D95" s="53" t="e">
        <f>SUMIF(#REF!,"=К",#REF!)</f>
        <v>#REF!</v>
      </c>
      <c r="E95" s="53" t="e">
        <f>SUMIF(#REF!,"=К",#REF!)</f>
        <v>#REF!</v>
      </c>
      <c r="F95" s="53" t="e">
        <f>SUMIF(#REF!,"=К",#REF!)</f>
        <v>#REF!</v>
      </c>
      <c r="G95" s="53" t="e">
        <f>SUMIF(#REF!,"=К",#REF!)</f>
        <v>#REF!</v>
      </c>
      <c r="H95" s="53" t="e">
        <f>SUMIF(#REF!,"=К",#REF!)</f>
        <v>#REF!</v>
      </c>
      <c r="I95" s="53" t="e">
        <f>SUMIF(#REF!,"=К",#REF!)</f>
        <v>#REF!</v>
      </c>
      <c r="J95" s="53" t="e">
        <f>SUMIF(#REF!,"=К",#REF!)</f>
        <v>#REF!</v>
      </c>
      <c r="K95" s="53" t="e">
        <f>SUMIF(#REF!,"=К",#REF!)</f>
        <v>#REF!</v>
      </c>
      <c r="L95" s="53" t="e">
        <f>SUMIF(#REF!,"=К",#REF!)</f>
        <v>#REF!</v>
      </c>
      <c r="M95" s="53" t="e">
        <f>SUMIF(#REF!,"=К",#REF!)</f>
        <v>#REF!</v>
      </c>
      <c r="N95" s="53" t="e">
        <f>SUMIF(#REF!,"=К",#REF!)</f>
        <v>#REF!</v>
      </c>
      <c r="O95" s="53" t="e">
        <f>SUMIF(#REF!,"=К",#REF!)</f>
        <v>#REF!</v>
      </c>
    </row>
    <row r="96" spans="1:15" s="40" customFormat="1" ht="15.75" customHeight="1">
      <c r="A96" s="140"/>
      <c r="B96" s="141"/>
      <c r="C96" s="54" t="s">
        <v>254</v>
      </c>
      <c r="D96" s="62" t="e">
        <f>COUNTIF(#REF!,"=К")</f>
        <v>#REF!</v>
      </c>
      <c r="E96" s="62" t="e">
        <f>COUNTIF(#REF!,"=К")</f>
        <v>#REF!</v>
      </c>
      <c r="F96" s="62" t="e">
        <f>COUNTIF(#REF!,"=К")</f>
        <v>#REF!</v>
      </c>
      <c r="G96" s="62" t="e">
        <f>COUNTIF(#REF!,"=К")</f>
        <v>#REF!</v>
      </c>
      <c r="H96" s="62" t="e">
        <f>COUNTIF(#REF!,"=К")</f>
        <v>#REF!</v>
      </c>
      <c r="I96" s="62" t="e">
        <f>COUNTIF(#REF!,"=К")</f>
        <v>#REF!</v>
      </c>
      <c r="J96" s="62" t="e">
        <f>COUNTIF(#REF!,"=К")</f>
        <v>#REF!</v>
      </c>
      <c r="K96" s="62" t="e">
        <f>COUNTIF(#REF!,"=К")</f>
        <v>#REF!</v>
      </c>
      <c r="L96" s="62" t="e">
        <f>COUNTIF(#REF!,"=К")</f>
        <v>#REF!</v>
      </c>
      <c r="M96" s="62" t="e">
        <f>COUNTIF(#REF!,"=К")</f>
        <v>#REF!</v>
      </c>
      <c r="N96" s="62" t="e">
        <f>COUNTIF(#REF!,"=К")</f>
        <v>#REF!</v>
      </c>
      <c r="O96" s="62" t="e">
        <f>COUNTIF(#REF!,"=К")</f>
        <v>#REF!</v>
      </c>
    </row>
    <row r="97" spans="1:15" s="40" customFormat="1" ht="15.75" customHeight="1">
      <c r="A97" s="142" t="s">
        <v>255</v>
      </c>
      <c r="B97" s="143"/>
      <c r="C97" s="56" t="s">
        <v>253</v>
      </c>
      <c r="D97" s="62" t="e">
        <f>SUMIF(#REF!,"=Т",#REF!)</f>
        <v>#REF!</v>
      </c>
      <c r="E97" s="62" t="e">
        <f>SUMIF(#REF!,"=Т",#REF!)</f>
        <v>#REF!</v>
      </c>
      <c r="F97" s="62" t="e">
        <f>SUMIF(#REF!,"=Т",#REF!)</f>
        <v>#REF!</v>
      </c>
      <c r="G97" s="62" t="e">
        <f>SUMIF(#REF!,"=Т",#REF!)</f>
        <v>#REF!</v>
      </c>
      <c r="H97" s="62" t="e">
        <f>SUMIF(#REF!,"=Т",#REF!)</f>
        <v>#REF!</v>
      </c>
      <c r="I97" s="62" t="e">
        <f>SUMIF(#REF!,"=Т",#REF!)</f>
        <v>#REF!</v>
      </c>
      <c r="J97" s="62" t="e">
        <f>SUMIF(#REF!,"=Т",#REF!)</f>
        <v>#REF!</v>
      </c>
      <c r="K97" s="62" t="e">
        <f>SUMIF(#REF!,"=Т",#REF!)</f>
        <v>#REF!</v>
      </c>
      <c r="L97" s="62" t="e">
        <f>SUMIF(#REF!,"=Т",#REF!)</f>
        <v>#REF!</v>
      </c>
      <c r="M97" s="62" t="e">
        <f>SUMIF(#REF!,"=Т",#REF!)</f>
        <v>#REF!</v>
      </c>
      <c r="N97" s="62" t="e">
        <f>SUMIF(#REF!,"=Т",#REF!)</f>
        <v>#REF!</v>
      </c>
      <c r="O97" s="62" t="e">
        <f>SUMIF(#REF!,"=Т",#REF!)</f>
        <v>#REF!</v>
      </c>
    </row>
    <row r="98" spans="1:15" s="40" customFormat="1" ht="15.75" customHeight="1">
      <c r="A98" s="142"/>
      <c r="B98" s="143"/>
      <c r="C98" s="54" t="s">
        <v>254</v>
      </c>
      <c r="D98" s="62" t="e">
        <f>COUNTIF(#REF!,"=Т")</f>
        <v>#REF!</v>
      </c>
      <c r="E98" s="62" t="e">
        <f>COUNTIF(#REF!,"=Т")</f>
        <v>#REF!</v>
      </c>
      <c r="F98" s="62" t="e">
        <f>COUNTIF(#REF!,"=Т")</f>
        <v>#REF!</v>
      </c>
      <c r="G98" s="62" t="e">
        <f>COUNTIF(#REF!,"=Т")</f>
        <v>#REF!</v>
      </c>
      <c r="H98" s="62" t="e">
        <f>COUNTIF(#REF!,"=Т")</f>
        <v>#REF!</v>
      </c>
      <c r="I98" s="62" t="e">
        <f>COUNTIF(#REF!,"=Т")</f>
        <v>#REF!</v>
      </c>
      <c r="J98" s="62" t="e">
        <f>COUNTIF(#REF!,"=Т")</f>
        <v>#REF!</v>
      </c>
      <c r="K98" s="62" t="e">
        <f>COUNTIF(#REF!,"=Т")</f>
        <v>#REF!</v>
      </c>
      <c r="L98" s="62" t="e">
        <f>COUNTIF(#REF!,"=Т")</f>
        <v>#REF!</v>
      </c>
      <c r="M98" s="62" t="e">
        <f>COUNTIF(#REF!,"=Т")</f>
        <v>#REF!</v>
      </c>
      <c r="N98" s="62" t="e">
        <f>COUNTIF(#REF!,"=Т")</f>
        <v>#REF!</v>
      </c>
      <c r="O98" s="62" t="e">
        <f>COUNTIF(#REF!,"=Т")</f>
        <v>#REF!</v>
      </c>
    </row>
    <row r="99" spans="1:15" s="40" customFormat="1" ht="15.75" customHeight="1">
      <c r="A99" s="157" t="s">
        <v>256</v>
      </c>
      <c r="B99" s="158"/>
      <c r="C99" s="56" t="s">
        <v>253</v>
      </c>
      <c r="D99" s="62" t="e">
        <f>(SUMIF(#REF!,"=ТО",#REF!))*0.1</f>
        <v>#REF!</v>
      </c>
      <c r="E99" s="62" t="e">
        <f>(SUMIF(#REF!,"=ТО",#REF!))*0.1</f>
        <v>#REF!</v>
      </c>
      <c r="F99" s="62" t="e">
        <f>(SUMIF(#REF!,"=ТО",#REF!))*0.1</f>
        <v>#REF!</v>
      </c>
      <c r="G99" s="62" t="e">
        <f>(SUMIF(#REF!,"=ТО",#REF!))*0.1</f>
        <v>#REF!</v>
      </c>
      <c r="H99" s="62" t="e">
        <f>(SUMIF(#REF!,"=ТО",#REF!))*0.1</f>
        <v>#REF!</v>
      </c>
      <c r="I99" s="62" t="e">
        <f>(SUMIF(#REF!,"=ТО",#REF!))*0.1</f>
        <v>#REF!</v>
      </c>
      <c r="J99" s="62" t="e">
        <f>(SUMIF(#REF!,"=ТО",#REF!))*0.1</f>
        <v>#REF!</v>
      </c>
      <c r="K99" s="62" t="e">
        <f>(SUMIF(#REF!,"=ТО",#REF!))*0.1</f>
        <v>#REF!</v>
      </c>
      <c r="L99" s="62" t="e">
        <f>(SUMIF(#REF!,"=ТО",#REF!))*0.1</f>
        <v>#REF!</v>
      </c>
      <c r="M99" s="62" t="e">
        <f>(SUMIF(#REF!,"=ТО",#REF!))*0.1</f>
        <v>#REF!</v>
      </c>
      <c r="N99" s="62" t="e">
        <f>(SUMIF(#REF!,"=ТО",#REF!))*0.1</f>
        <v>#REF!</v>
      </c>
      <c r="O99" s="62" t="e">
        <f>(SUMIF(#REF!,"=ТО",#REF!))*0.1</f>
        <v>#REF!</v>
      </c>
    </row>
    <row r="100" spans="1:15" s="40" customFormat="1" ht="15.75" customHeight="1">
      <c r="A100" s="144"/>
      <c r="B100" s="145"/>
      <c r="C100" s="54" t="s">
        <v>254</v>
      </c>
      <c r="D100" s="62" t="e">
        <f>COUNTIF(#REF!,"=ТО")</f>
        <v>#REF!</v>
      </c>
      <c r="E100" s="62" t="e">
        <f>COUNTIF(#REF!,"=ТО")</f>
        <v>#REF!</v>
      </c>
      <c r="F100" s="62" t="e">
        <f>COUNTIF(#REF!,"=ТО")</f>
        <v>#REF!</v>
      </c>
      <c r="G100" s="62" t="e">
        <f>COUNTIF(#REF!,"=ТО")</f>
        <v>#REF!</v>
      </c>
      <c r="H100" s="62" t="e">
        <f>COUNTIF(#REF!,"=ТО")</f>
        <v>#REF!</v>
      </c>
      <c r="I100" s="62" t="e">
        <f>COUNTIF(#REF!,"=ТО")</f>
        <v>#REF!</v>
      </c>
      <c r="J100" s="62" t="e">
        <f>COUNTIF(#REF!,"=ТО")</f>
        <v>#REF!</v>
      </c>
      <c r="K100" s="62" t="e">
        <f>COUNTIF(#REF!,"=ТО")</f>
        <v>#REF!</v>
      </c>
      <c r="L100" s="62" t="e">
        <f>COUNTIF(#REF!,"=ТО")</f>
        <v>#REF!</v>
      </c>
      <c r="M100" s="62" t="e">
        <f>COUNTIF(#REF!,"=ТО")</f>
        <v>#REF!</v>
      </c>
      <c r="N100" s="62" t="e">
        <f>COUNTIF(#REF!,"=ТО")</f>
        <v>#REF!</v>
      </c>
      <c r="O100" s="62" t="e">
        <f>COUNTIF(#REF!,"=ТО")</f>
        <v>#REF!</v>
      </c>
    </row>
    <row r="101" spans="1:15" s="40" customFormat="1" ht="15.75" customHeight="1">
      <c r="A101" s="140" t="s">
        <v>257</v>
      </c>
      <c r="B101" s="141"/>
      <c r="C101" s="56" t="s">
        <v>253</v>
      </c>
      <c r="D101" s="64" t="e">
        <f aca="true" t="shared" si="20" ref="D101:O101">D95+D97+D99</f>
        <v>#REF!</v>
      </c>
      <c r="E101" s="64" t="e">
        <f t="shared" si="20"/>
        <v>#REF!</v>
      </c>
      <c r="F101" s="64" t="e">
        <f t="shared" si="20"/>
        <v>#REF!</v>
      </c>
      <c r="G101" s="64" t="e">
        <f t="shared" si="20"/>
        <v>#REF!</v>
      </c>
      <c r="H101" s="64" t="e">
        <f t="shared" si="20"/>
        <v>#REF!</v>
      </c>
      <c r="I101" s="64" t="e">
        <f t="shared" si="20"/>
        <v>#REF!</v>
      </c>
      <c r="J101" s="64" t="e">
        <f t="shared" si="20"/>
        <v>#REF!</v>
      </c>
      <c r="K101" s="64" t="e">
        <f t="shared" si="20"/>
        <v>#REF!</v>
      </c>
      <c r="L101" s="64" t="e">
        <f t="shared" si="20"/>
        <v>#REF!</v>
      </c>
      <c r="M101" s="64" t="e">
        <f t="shared" si="20"/>
        <v>#REF!</v>
      </c>
      <c r="N101" s="64" t="e">
        <f t="shared" si="20"/>
        <v>#REF!</v>
      </c>
      <c r="O101" s="64" t="e">
        <f t="shared" si="20"/>
        <v>#REF!</v>
      </c>
    </row>
    <row r="102" spans="1:15" s="40" customFormat="1" ht="15.75" customHeight="1" thickBot="1">
      <c r="A102" s="146"/>
      <c r="B102" s="147"/>
      <c r="C102" s="57" t="s">
        <v>254</v>
      </c>
      <c r="D102" s="68" t="e">
        <f aca="true" t="shared" si="21" ref="D102:O102">D96+D98+D100</f>
        <v>#REF!</v>
      </c>
      <c r="E102" s="68" t="e">
        <f t="shared" si="21"/>
        <v>#REF!</v>
      </c>
      <c r="F102" s="68" t="e">
        <f t="shared" si="21"/>
        <v>#REF!</v>
      </c>
      <c r="G102" s="68" t="e">
        <f t="shared" si="21"/>
        <v>#REF!</v>
      </c>
      <c r="H102" s="68" t="e">
        <f t="shared" si="21"/>
        <v>#REF!</v>
      </c>
      <c r="I102" s="68" t="e">
        <f t="shared" si="21"/>
        <v>#REF!</v>
      </c>
      <c r="J102" s="68" t="e">
        <f t="shared" si="21"/>
        <v>#REF!</v>
      </c>
      <c r="K102" s="68" t="e">
        <f t="shared" si="21"/>
        <v>#REF!</v>
      </c>
      <c r="L102" s="68" t="e">
        <f t="shared" si="21"/>
        <v>#REF!</v>
      </c>
      <c r="M102" s="68" t="e">
        <f t="shared" si="21"/>
        <v>#REF!</v>
      </c>
      <c r="N102" s="68" t="e">
        <f t="shared" si="21"/>
        <v>#REF!</v>
      </c>
      <c r="O102" s="68" t="e">
        <f t="shared" si="21"/>
        <v>#REF!</v>
      </c>
    </row>
    <row r="103" spans="1:15" ht="21" customHeight="1" thickBot="1">
      <c r="A103" s="148" t="s">
        <v>369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50"/>
    </row>
    <row r="104" spans="1:15" s="40" customFormat="1" ht="15.75" customHeight="1">
      <c r="A104" s="138" t="s">
        <v>252</v>
      </c>
      <c r="B104" s="139"/>
      <c r="C104" s="52" t="s">
        <v>253</v>
      </c>
      <c r="D104" s="53" t="e">
        <f>SUMIF(#REF!,"=К",#REF!)</f>
        <v>#REF!</v>
      </c>
      <c r="E104" s="53" t="e">
        <f>SUMIF(#REF!,"=К",#REF!)</f>
        <v>#REF!</v>
      </c>
      <c r="F104" s="53" t="e">
        <f>SUMIF(#REF!,"=К",#REF!)</f>
        <v>#REF!</v>
      </c>
      <c r="G104" s="53" t="e">
        <f>SUMIF(#REF!,"=К",#REF!)</f>
        <v>#REF!</v>
      </c>
      <c r="H104" s="53" t="e">
        <f>SUMIF(#REF!,"=К",#REF!)</f>
        <v>#REF!</v>
      </c>
      <c r="I104" s="53" t="e">
        <f>SUMIF(#REF!,"=К",#REF!)</f>
        <v>#REF!</v>
      </c>
      <c r="J104" s="53" t="e">
        <f>SUMIF(#REF!,"=К",#REF!)</f>
        <v>#REF!</v>
      </c>
      <c r="K104" s="53" t="e">
        <f>SUMIF(#REF!,"=К",#REF!)</f>
        <v>#REF!</v>
      </c>
      <c r="L104" s="53" t="e">
        <f>SUMIF(#REF!,"=К",#REF!)</f>
        <v>#REF!</v>
      </c>
      <c r="M104" s="53" t="e">
        <f>SUMIF(#REF!,"=К",#REF!)</f>
        <v>#REF!</v>
      </c>
      <c r="N104" s="53" t="e">
        <f>SUMIF(#REF!,"=К",#REF!)</f>
        <v>#REF!</v>
      </c>
      <c r="O104" s="53" t="e">
        <f>SUMIF(#REF!,"=К",#REF!)</f>
        <v>#REF!</v>
      </c>
    </row>
    <row r="105" spans="1:15" s="40" customFormat="1" ht="15.75" customHeight="1">
      <c r="A105" s="140"/>
      <c r="B105" s="141"/>
      <c r="C105" s="54" t="s">
        <v>254</v>
      </c>
      <c r="D105" s="62" t="e">
        <f>COUNTIF(#REF!,"=К")</f>
        <v>#REF!</v>
      </c>
      <c r="E105" s="62" t="e">
        <f>COUNTIF(#REF!,"=К")</f>
        <v>#REF!</v>
      </c>
      <c r="F105" s="62" t="e">
        <f>COUNTIF(#REF!,"=К")</f>
        <v>#REF!</v>
      </c>
      <c r="G105" s="62" t="e">
        <f>COUNTIF(#REF!,"=К")</f>
        <v>#REF!</v>
      </c>
      <c r="H105" s="62" t="e">
        <f>COUNTIF(#REF!,"=К")</f>
        <v>#REF!</v>
      </c>
      <c r="I105" s="62" t="e">
        <f>COUNTIF(#REF!,"=К")</f>
        <v>#REF!</v>
      </c>
      <c r="J105" s="62" t="e">
        <f>COUNTIF(#REF!,"=К")</f>
        <v>#REF!</v>
      </c>
      <c r="K105" s="62" t="e">
        <f>COUNTIF(#REF!,"=К")</f>
        <v>#REF!</v>
      </c>
      <c r="L105" s="62" t="e">
        <f>COUNTIF(#REF!,"=К")</f>
        <v>#REF!</v>
      </c>
      <c r="M105" s="62" t="e">
        <f>COUNTIF(#REF!,"=К")</f>
        <v>#REF!</v>
      </c>
      <c r="N105" s="62" t="e">
        <f>COUNTIF(#REF!,"=К")</f>
        <v>#REF!</v>
      </c>
      <c r="O105" s="62" t="e">
        <f>COUNTIF(#REF!,"=К")</f>
        <v>#REF!</v>
      </c>
    </row>
    <row r="106" spans="1:15" s="40" customFormat="1" ht="15.75" customHeight="1">
      <c r="A106" s="142" t="s">
        <v>255</v>
      </c>
      <c r="B106" s="143"/>
      <c r="C106" s="56" t="s">
        <v>253</v>
      </c>
      <c r="D106" s="62" t="e">
        <f>SUMIF(#REF!,"=Т",#REF!)</f>
        <v>#REF!</v>
      </c>
      <c r="E106" s="62" t="e">
        <f>SUMIF(#REF!,"=Т",#REF!)</f>
        <v>#REF!</v>
      </c>
      <c r="F106" s="62" t="e">
        <f>SUMIF(#REF!,"=Т",#REF!)</f>
        <v>#REF!</v>
      </c>
      <c r="G106" s="62" t="e">
        <f>SUMIF(#REF!,"=Т",#REF!)</f>
        <v>#REF!</v>
      </c>
      <c r="H106" s="62" t="e">
        <f>SUMIF(#REF!,"=Т",#REF!)</f>
        <v>#REF!</v>
      </c>
      <c r="I106" s="62" t="e">
        <f>SUMIF(#REF!,"=Т",#REF!)</f>
        <v>#REF!</v>
      </c>
      <c r="J106" s="62" t="e">
        <f>SUMIF(#REF!,"=Т",#REF!)</f>
        <v>#REF!</v>
      </c>
      <c r="K106" s="62" t="e">
        <f>SUMIF(#REF!,"=Т",#REF!)</f>
        <v>#REF!</v>
      </c>
      <c r="L106" s="62" t="e">
        <f>SUMIF(#REF!,"=Т",#REF!)</f>
        <v>#REF!</v>
      </c>
      <c r="M106" s="62" t="e">
        <f>SUMIF(#REF!,"=Т",#REF!)</f>
        <v>#REF!</v>
      </c>
      <c r="N106" s="62" t="e">
        <f>SUMIF(#REF!,"=Т",#REF!)</f>
        <v>#REF!</v>
      </c>
      <c r="O106" s="62" t="e">
        <f>SUMIF(#REF!,"=Т",#REF!)</f>
        <v>#REF!</v>
      </c>
    </row>
    <row r="107" spans="1:15" s="40" customFormat="1" ht="15.75" customHeight="1">
      <c r="A107" s="142"/>
      <c r="B107" s="143"/>
      <c r="C107" s="54" t="s">
        <v>254</v>
      </c>
      <c r="D107" s="62" t="e">
        <f>COUNTIF(#REF!,"=Т")</f>
        <v>#REF!</v>
      </c>
      <c r="E107" s="62" t="e">
        <f>COUNTIF(#REF!,"=Т")</f>
        <v>#REF!</v>
      </c>
      <c r="F107" s="62" t="e">
        <f>COUNTIF(#REF!,"=Т")</f>
        <v>#REF!</v>
      </c>
      <c r="G107" s="62" t="e">
        <f>COUNTIF(#REF!,"=Т")</f>
        <v>#REF!</v>
      </c>
      <c r="H107" s="62" t="e">
        <f>COUNTIF(#REF!,"=Т")</f>
        <v>#REF!</v>
      </c>
      <c r="I107" s="62" t="e">
        <f>COUNTIF(#REF!,"=Т")</f>
        <v>#REF!</v>
      </c>
      <c r="J107" s="62" t="e">
        <f>COUNTIF(#REF!,"=Т")</f>
        <v>#REF!</v>
      </c>
      <c r="K107" s="62" t="e">
        <f>COUNTIF(#REF!,"=Т")</f>
        <v>#REF!</v>
      </c>
      <c r="L107" s="62" t="e">
        <f>COUNTIF(#REF!,"=Т")</f>
        <v>#REF!</v>
      </c>
      <c r="M107" s="62" t="e">
        <f>COUNTIF(#REF!,"=Т")</f>
        <v>#REF!</v>
      </c>
      <c r="N107" s="62" t="e">
        <f>COUNTIF(#REF!,"=Т")</f>
        <v>#REF!</v>
      </c>
      <c r="O107" s="62" t="e">
        <f>COUNTIF(#REF!,"=Т")</f>
        <v>#REF!</v>
      </c>
    </row>
    <row r="108" spans="1:15" s="40" customFormat="1" ht="15.75" customHeight="1">
      <c r="A108" s="157" t="s">
        <v>256</v>
      </c>
      <c r="B108" s="158"/>
      <c r="C108" s="56" t="s">
        <v>253</v>
      </c>
      <c r="D108" s="62" t="e">
        <f>(SUMIF(#REF!,"=ТО",#REF!))*0.1</f>
        <v>#REF!</v>
      </c>
      <c r="E108" s="62" t="e">
        <f>(SUMIF(#REF!,"=ТО",#REF!))*0.1</f>
        <v>#REF!</v>
      </c>
      <c r="F108" s="62" t="e">
        <f>(SUMIF(#REF!,"=ТО",#REF!))*0.1</f>
        <v>#REF!</v>
      </c>
      <c r="G108" s="62" t="e">
        <f>(SUMIF(#REF!,"=ТО",#REF!))*0.1</f>
        <v>#REF!</v>
      </c>
      <c r="H108" s="62" t="e">
        <f>(SUMIF(#REF!,"=ТО",#REF!))*0.1</f>
        <v>#REF!</v>
      </c>
      <c r="I108" s="62" t="e">
        <f>(SUMIF(#REF!,"=ТО",#REF!))*0.1</f>
        <v>#REF!</v>
      </c>
      <c r="J108" s="62" t="e">
        <f>(SUMIF(#REF!,"=ТО",#REF!))*0.1</f>
        <v>#REF!</v>
      </c>
      <c r="K108" s="62" t="e">
        <f>(SUMIF(#REF!,"=ТО",#REF!))*0.1</f>
        <v>#REF!</v>
      </c>
      <c r="L108" s="62" t="e">
        <f>(SUMIF(#REF!,"=ТО",#REF!))*0.1</f>
        <v>#REF!</v>
      </c>
      <c r="M108" s="62" t="e">
        <f>(SUMIF(#REF!,"=ТО",#REF!))*0.1</f>
        <v>#REF!</v>
      </c>
      <c r="N108" s="62" t="e">
        <f>(SUMIF(#REF!,"=ТО",#REF!))*0.1</f>
        <v>#REF!</v>
      </c>
      <c r="O108" s="62" t="e">
        <f>(SUMIF(#REF!,"=ТО",#REF!))*0.1</f>
        <v>#REF!</v>
      </c>
    </row>
    <row r="109" spans="1:15" s="40" customFormat="1" ht="15.75" customHeight="1">
      <c r="A109" s="144"/>
      <c r="B109" s="145"/>
      <c r="C109" s="54" t="s">
        <v>254</v>
      </c>
      <c r="D109" s="62" t="e">
        <f>COUNTIF(#REF!,"=ТО")</f>
        <v>#REF!</v>
      </c>
      <c r="E109" s="62" t="e">
        <f>COUNTIF(#REF!,"=ТО")</f>
        <v>#REF!</v>
      </c>
      <c r="F109" s="62" t="e">
        <f>COUNTIF(#REF!,"=ТО")</f>
        <v>#REF!</v>
      </c>
      <c r="G109" s="62" t="e">
        <f>COUNTIF(#REF!,"=ТО")</f>
        <v>#REF!</v>
      </c>
      <c r="H109" s="62" t="e">
        <f>COUNTIF(#REF!,"=ТО")</f>
        <v>#REF!</v>
      </c>
      <c r="I109" s="62" t="e">
        <f>COUNTIF(#REF!,"=ТО")</f>
        <v>#REF!</v>
      </c>
      <c r="J109" s="62" t="e">
        <f>COUNTIF(#REF!,"=ТО")</f>
        <v>#REF!</v>
      </c>
      <c r="K109" s="62" t="e">
        <f>COUNTIF(#REF!,"=ТО")</f>
        <v>#REF!</v>
      </c>
      <c r="L109" s="62" t="e">
        <f>COUNTIF(#REF!,"=ТО")</f>
        <v>#REF!</v>
      </c>
      <c r="M109" s="62" t="e">
        <f>COUNTIF(#REF!,"=ТО")</f>
        <v>#REF!</v>
      </c>
      <c r="N109" s="62" t="e">
        <f>COUNTIF(#REF!,"=ТО")</f>
        <v>#REF!</v>
      </c>
      <c r="O109" s="62" t="e">
        <f>COUNTIF(#REF!,"=ТО")</f>
        <v>#REF!</v>
      </c>
    </row>
    <row r="110" spans="1:15" s="40" customFormat="1" ht="15.75" customHeight="1">
      <c r="A110" s="140" t="s">
        <v>257</v>
      </c>
      <c r="B110" s="141"/>
      <c r="C110" s="56" t="s">
        <v>253</v>
      </c>
      <c r="D110" s="64" t="e">
        <f aca="true" t="shared" si="22" ref="D110:O110">D104+D106+D108</f>
        <v>#REF!</v>
      </c>
      <c r="E110" s="64" t="e">
        <f t="shared" si="22"/>
        <v>#REF!</v>
      </c>
      <c r="F110" s="64" t="e">
        <f t="shared" si="22"/>
        <v>#REF!</v>
      </c>
      <c r="G110" s="64" t="e">
        <f t="shared" si="22"/>
        <v>#REF!</v>
      </c>
      <c r="H110" s="64" t="e">
        <f t="shared" si="22"/>
        <v>#REF!</v>
      </c>
      <c r="I110" s="64" t="e">
        <f t="shared" si="22"/>
        <v>#REF!</v>
      </c>
      <c r="J110" s="64" t="e">
        <f t="shared" si="22"/>
        <v>#REF!</v>
      </c>
      <c r="K110" s="64" t="e">
        <f t="shared" si="22"/>
        <v>#REF!</v>
      </c>
      <c r="L110" s="64" t="e">
        <f t="shared" si="22"/>
        <v>#REF!</v>
      </c>
      <c r="M110" s="64" t="e">
        <f t="shared" si="22"/>
        <v>#REF!</v>
      </c>
      <c r="N110" s="64" t="e">
        <f t="shared" si="22"/>
        <v>#REF!</v>
      </c>
      <c r="O110" s="64" t="e">
        <f t="shared" si="22"/>
        <v>#REF!</v>
      </c>
    </row>
    <row r="111" spans="1:15" s="40" customFormat="1" ht="15.75" customHeight="1" thickBot="1">
      <c r="A111" s="146"/>
      <c r="B111" s="147"/>
      <c r="C111" s="57" t="s">
        <v>254</v>
      </c>
      <c r="D111" s="68" t="e">
        <f aca="true" t="shared" si="23" ref="D111:O111">D105+D107+D109</f>
        <v>#REF!</v>
      </c>
      <c r="E111" s="68" t="e">
        <f t="shared" si="23"/>
        <v>#REF!</v>
      </c>
      <c r="F111" s="68" t="e">
        <f t="shared" si="23"/>
        <v>#REF!</v>
      </c>
      <c r="G111" s="68" t="e">
        <f t="shared" si="23"/>
        <v>#REF!</v>
      </c>
      <c r="H111" s="68" t="e">
        <f t="shared" si="23"/>
        <v>#REF!</v>
      </c>
      <c r="I111" s="68" t="e">
        <f t="shared" si="23"/>
        <v>#REF!</v>
      </c>
      <c r="J111" s="68" t="e">
        <f t="shared" si="23"/>
        <v>#REF!</v>
      </c>
      <c r="K111" s="68" t="e">
        <f t="shared" si="23"/>
        <v>#REF!</v>
      </c>
      <c r="L111" s="68" t="e">
        <f t="shared" si="23"/>
        <v>#REF!</v>
      </c>
      <c r="M111" s="68" t="e">
        <f t="shared" si="23"/>
        <v>#REF!</v>
      </c>
      <c r="N111" s="68" t="e">
        <f t="shared" si="23"/>
        <v>#REF!</v>
      </c>
      <c r="O111" s="68" t="e">
        <f t="shared" si="23"/>
        <v>#REF!</v>
      </c>
    </row>
    <row r="112" spans="1:15" s="40" customFormat="1" ht="15.75" customHeight="1">
      <c r="A112" s="85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s="89" customFormat="1" ht="15.75" customHeight="1">
      <c r="A113" s="60"/>
      <c r="B113" s="60"/>
      <c r="C113" s="61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</row>
    <row r="114" spans="1:15" s="40" customFormat="1" ht="15.75" customHeight="1">
      <c r="A114" s="60"/>
      <c r="B114" s="60"/>
      <c r="C114" s="61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</row>
    <row r="115" spans="1:15" ht="15.75" thickBot="1">
      <c r="A115" s="151" t="s">
        <v>384</v>
      </c>
      <c r="B115" s="152"/>
      <c r="C115" s="153"/>
      <c r="D115" s="83" t="s">
        <v>240</v>
      </c>
      <c r="E115" s="83" t="s">
        <v>241</v>
      </c>
      <c r="F115" s="83" t="s">
        <v>242</v>
      </c>
      <c r="G115" s="83" t="s">
        <v>243</v>
      </c>
      <c r="H115" s="83" t="s">
        <v>244</v>
      </c>
      <c r="I115" s="83" t="s">
        <v>245</v>
      </c>
      <c r="J115" s="83" t="s">
        <v>246</v>
      </c>
      <c r="K115" s="83" t="s">
        <v>247</v>
      </c>
      <c r="L115" s="83" t="s">
        <v>248</v>
      </c>
      <c r="M115" s="83" t="s">
        <v>249</v>
      </c>
      <c r="N115" s="83" t="s">
        <v>250</v>
      </c>
      <c r="O115" s="83" t="s">
        <v>251</v>
      </c>
    </row>
    <row r="116" spans="1:15" ht="21" customHeight="1" thickBot="1">
      <c r="A116" s="148" t="s">
        <v>382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50"/>
    </row>
    <row r="117" spans="1:15" s="40" customFormat="1" ht="15.75" customHeight="1">
      <c r="A117" s="138" t="s">
        <v>252</v>
      </c>
      <c r="B117" s="139"/>
      <c r="C117" s="52" t="s">
        <v>253</v>
      </c>
      <c r="D117" s="53" t="e">
        <f>SUMIF(#REF!,"=К",#REF!)</f>
        <v>#REF!</v>
      </c>
      <c r="E117" s="53" t="e">
        <f>SUMIF(#REF!,"=К",#REF!)</f>
        <v>#REF!</v>
      </c>
      <c r="F117" s="53" t="e">
        <f>SUMIF(#REF!,"=К",#REF!)</f>
        <v>#REF!</v>
      </c>
      <c r="G117" s="53" t="e">
        <f>SUMIF(#REF!,"=К",#REF!)</f>
        <v>#REF!</v>
      </c>
      <c r="H117" s="53" t="e">
        <f>SUMIF(#REF!,"=К",#REF!)</f>
        <v>#REF!</v>
      </c>
      <c r="I117" s="53" t="e">
        <f>SUMIF(#REF!,"=К",#REF!)</f>
        <v>#REF!</v>
      </c>
      <c r="J117" s="53" t="e">
        <f>SUMIF(#REF!,"=К",#REF!)</f>
        <v>#REF!</v>
      </c>
      <c r="K117" s="53" t="e">
        <f>SUMIF(#REF!,"=К",#REF!)</f>
        <v>#REF!</v>
      </c>
      <c r="L117" s="53" t="e">
        <f>SUMIF(#REF!,"=К",#REF!)</f>
        <v>#REF!</v>
      </c>
      <c r="M117" s="53" t="e">
        <f>SUMIF(#REF!,"=К",#REF!)</f>
        <v>#REF!</v>
      </c>
      <c r="N117" s="53" t="e">
        <f>SUMIF(#REF!,"=К",#REF!)</f>
        <v>#REF!</v>
      </c>
      <c r="O117" s="53" t="e">
        <f>SUMIF(#REF!,"=К",#REF!)</f>
        <v>#REF!</v>
      </c>
    </row>
    <row r="118" spans="1:15" s="40" customFormat="1" ht="15.75" customHeight="1">
      <c r="A118" s="140"/>
      <c r="B118" s="141"/>
      <c r="C118" s="54" t="s">
        <v>254</v>
      </c>
      <c r="D118" s="62" t="e">
        <f>COUNTIF(#REF!,"=К")</f>
        <v>#REF!</v>
      </c>
      <c r="E118" s="62" t="e">
        <f>COUNTIF(#REF!,"=К")</f>
        <v>#REF!</v>
      </c>
      <c r="F118" s="62" t="e">
        <f>COUNTIF(#REF!,"=К")</f>
        <v>#REF!</v>
      </c>
      <c r="G118" s="62" t="e">
        <f>COUNTIF(#REF!,"=К")</f>
        <v>#REF!</v>
      </c>
      <c r="H118" s="62" t="e">
        <f>COUNTIF(#REF!,"=К")</f>
        <v>#REF!</v>
      </c>
      <c r="I118" s="62" t="e">
        <f>COUNTIF(#REF!,"=К")</f>
        <v>#REF!</v>
      </c>
      <c r="J118" s="62" t="e">
        <f>COUNTIF(#REF!,"=К")</f>
        <v>#REF!</v>
      </c>
      <c r="K118" s="62" t="e">
        <f>COUNTIF(#REF!,"=К")</f>
        <v>#REF!</v>
      </c>
      <c r="L118" s="62" t="e">
        <f>COUNTIF(#REF!,"=К")</f>
        <v>#REF!</v>
      </c>
      <c r="M118" s="62" t="e">
        <f>COUNTIF(#REF!,"=К")</f>
        <v>#REF!</v>
      </c>
      <c r="N118" s="62" t="e">
        <f>COUNTIF(#REF!,"=К")</f>
        <v>#REF!</v>
      </c>
      <c r="O118" s="62" t="e">
        <f>COUNTIF(#REF!,"=К")</f>
        <v>#REF!</v>
      </c>
    </row>
    <row r="119" spans="1:15" s="40" customFormat="1" ht="15.75" customHeight="1">
      <c r="A119" s="142" t="s">
        <v>255</v>
      </c>
      <c r="B119" s="143"/>
      <c r="C119" s="56" t="s">
        <v>253</v>
      </c>
      <c r="D119" s="62" t="e">
        <f>SUMIF(#REF!,"=Т",#REF!)</f>
        <v>#REF!</v>
      </c>
      <c r="E119" s="62" t="e">
        <f>SUMIF(#REF!,"=Т",#REF!)</f>
        <v>#REF!</v>
      </c>
      <c r="F119" s="62" t="e">
        <f>SUMIF(#REF!,"=Т",#REF!)</f>
        <v>#REF!</v>
      </c>
      <c r="G119" s="62" t="e">
        <f>SUMIF(#REF!,"=Т",#REF!)</f>
        <v>#REF!</v>
      </c>
      <c r="H119" s="62" t="e">
        <f>SUMIF(#REF!,"=Т",#REF!)</f>
        <v>#REF!</v>
      </c>
      <c r="I119" s="62" t="e">
        <f>SUMIF(#REF!,"=Т",#REF!)</f>
        <v>#REF!</v>
      </c>
      <c r="J119" s="62" t="e">
        <f>SUMIF(#REF!,"=Т",#REF!)</f>
        <v>#REF!</v>
      </c>
      <c r="K119" s="62" t="e">
        <f>SUMIF(#REF!,"=Т",#REF!)</f>
        <v>#REF!</v>
      </c>
      <c r="L119" s="62" t="e">
        <f>SUMIF(#REF!,"=Т",#REF!)</f>
        <v>#REF!</v>
      </c>
      <c r="M119" s="62" t="e">
        <f>SUMIF(#REF!,"=Т",#REF!)</f>
        <v>#REF!</v>
      </c>
      <c r="N119" s="62" t="e">
        <f>SUMIF(#REF!,"=Т",#REF!)</f>
        <v>#REF!</v>
      </c>
      <c r="O119" s="62" t="e">
        <f>SUMIF(#REF!,"=Т",#REF!)</f>
        <v>#REF!</v>
      </c>
    </row>
    <row r="120" spans="1:15" s="40" customFormat="1" ht="15.75" customHeight="1">
      <c r="A120" s="142"/>
      <c r="B120" s="143"/>
      <c r="C120" s="54" t="s">
        <v>254</v>
      </c>
      <c r="D120" s="62" t="e">
        <f>COUNTIF(#REF!,"=Т")</f>
        <v>#REF!</v>
      </c>
      <c r="E120" s="62" t="e">
        <f>COUNTIF(#REF!,"=Т")</f>
        <v>#REF!</v>
      </c>
      <c r="F120" s="62" t="e">
        <f>COUNTIF(#REF!,"=Т")</f>
        <v>#REF!</v>
      </c>
      <c r="G120" s="62" t="e">
        <f>COUNTIF(#REF!,"=Т")</f>
        <v>#REF!</v>
      </c>
      <c r="H120" s="62" t="e">
        <f>COUNTIF(#REF!,"=Т")</f>
        <v>#REF!</v>
      </c>
      <c r="I120" s="62" t="e">
        <f>COUNTIF(#REF!,"=Т")</f>
        <v>#REF!</v>
      </c>
      <c r="J120" s="62" t="e">
        <f>COUNTIF(#REF!,"=Т")</f>
        <v>#REF!</v>
      </c>
      <c r="K120" s="62" t="e">
        <f>COUNTIF(#REF!,"=Т")</f>
        <v>#REF!</v>
      </c>
      <c r="L120" s="62" t="e">
        <f>COUNTIF(#REF!,"=Т")</f>
        <v>#REF!</v>
      </c>
      <c r="M120" s="62" t="e">
        <f>COUNTIF(#REF!,"=Т")</f>
        <v>#REF!</v>
      </c>
      <c r="N120" s="62" t="e">
        <f>COUNTIF(#REF!,"=Т")</f>
        <v>#REF!</v>
      </c>
      <c r="O120" s="62" t="e">
        <f>COUNTIF(#REF!,"=Т")</f>
        <v>#REF!</v>
      </c>
    </row>
    <row r="121" spans="1:15" s="40" customFormat="1" ht="15.75" customHeight="1">
      <c r="A121" s="157" t="s">
        <v>256</v>
      </c>
      <c r="B121" s="158"/>
      <c r="C121" s="56" t="s">
        <v>253</v>
      </c>
      <c r="D121" s="62" t="e">
        <f>(SUMIF(#REF!,"=ТО",#REF!))*0.1</f>
        <v>#REF!</v>
      </c>
      <c r="E121" s="62" t="e">
        <f>(SUMIF(#REF!,"=ТО",#REF!))*0.1</f>
        <v>#REF!</v>
      </c>
      <c r="F121" s="62" t="e">
        <f>(SUMIF(#REF!,"=ТО",#REF!))*0.1</f>
        <v>#REF!</v>
      </c>
      <c r="G121" s="62" t="e">
        <f>(SUMIF(#REF!,"=ТО",#REF!))*0.1</f>
        <v>#REF!</v>
      </c>
      <c r="H121" s="62" t="e">
        <f>(SUMIF(#REF!,"=ТО",#REF!))*0.1</f>
        <v>#REF!</v>
      </c>
      <c r="I121" s="62" t="e">
        <f>(SUMIF(#REF!,"=ТО",#REF!))*0.1</f>
        <v>#REF!</v>
      </c>
      <c r="J121" s="62" t="e">
        <f>(SUMIF(#REF!,"=ТО",#REF!))*0.1</f>
        <v>#REF!</v>
      </c>
      <c r="K121" s="62" t="e">
        <f>(SUMIF(#REF!,"=ТО",#REF!))*0.1</f>
        <v>#REF!</v>
      </c>
      <c r="L121" s="62" t="e">
        <f>(SUMIF(#REF!,"=ТО",#REF!))*0.1</f>
        <v>#REF!</v>
      </c>
      <c r="M121" s="62" t="e">
        <f>(SUMIF(#REF!,"=ТО",#REF!))*0.1</f>
        <v>#REF!</v>
      </c>
      <c r="N121" s="62" t="e">
        <f>(SUMIF(#REF!,"=ТО",#REF!))*0.1</f>
        <v>#REF!</v>
      </c>
      <c r="O121" s="62" t="e">
        <f>(SUMIF(#REF!,"=ТО",#REF!))*0.1</f>
        <v>#REF!</v>
      </c>
    </row>
    <row r="122" spans="1:15" s="40" customFormat="1" ht="15.75" customHeight="1">
      <c r="A122" s="144"/>
      <c r="B122" s="145"/>
      <c r="C122" s="54" t="s">
        <v>254</v>
      </c>
      <c r="D122" s="62" t="e">
        <f>COUNTIF(#REF!,"=ТО")</f>
        <v>#REF!</v>
      </c>
      <c r="E122" s="62" t="e">
        <f>COUNTIF(#REF!,"=ТО")</f>
        <v>#REF!</v>
      </c>
      <c r="F122" s="62" t="e">
        <f>COUNTIF(#REF!,"=ТО")</f>
        <v>#REF!</v>
      </c>
      <c r="G122" s="62" t="e">
        <f>COUNTIF(#REF!,"=ТО")</f>
        <v>#REF!</v>
      </c>
      <c r="H122" s="62" t="e">
        <f>COUNTIF(#REF!,"=ТО")</f>
        <v>#REF!</v>
      </c>
      <c r="I122" s="62" t="e">
        <f>COUNTIF(#REF!,"=ТО")</f>
        <v>#REF!</v>
      </c>
      <c r="J122" s="62" t="e">
        <f>COUNTIF(#REF!,"=ТО")</f>
        <v>#REF!</v>
      </c>
      <c r="K122" s="62" t="e">
        <f>COUNTIF(#REF!,"=ТО")</f>
        <v>#REF!</v>
      </c>
      <c r="L122" s="62" t="e">
        <f>COUNTIF(#REF!,"=ТО")</f>
        <v>#REF!</v>
      </c>
      <c r="M122" s="62" t="e">
        <f>COUNTIF(#REF!,"=ТО")</f>
        <v>#REF!</v>
      </c>
      <c r="N122" s="62" t="e">
        <f>COUNTIF(#REF!,"=ТО")</f>
        <v>#REF!</v>
      </c>
      <c r="O122" s="62" t="e">
        <f>COUNTIF(#REF!,"=ТО")</f>
        <v>#REF!</v>
      </c>
    </row>
    <row r="123" spans="1:15" s="40" customFormat="1" ht="15.75" customHeight="1">
      <c r="A123" s="140" t="s">
        <v>257</v>
      </c>
      <c r="B123" s="141"/>
      <c r="C123" s="56" t="s">
        <v>253</v>
      </c>
      <c r="D123" s="69" t="e">
        <f aca="true" t="shared" si="24" ref="D123:O123">D117+D119+D121</f>
        <v>#REF!</v>
      </c>
      <c r="E123" s="69" t="e">
        <f t="shared" si="24"/>
        <v>#REF!</v>
      </c>
      <c r="F123" s="69" t="e">
        <f t="shared" si="24"/>
        <v>#REF!</v>
      </c>
      <c r="G123" s="69" t="e">
        <f t="shared" si="24"/>
        <v>#REF!</v>
      </c>
      <c r="H123" s="69" t="e">
        <f t="shared" si="24"/>
        <v>#REF!</v>
      </c>
      <c r="I123" s="69" t="e">
        <f t="shared" si="24"/>
        <v>#REF!</v>
      </c>
      <c r="J123" s="69" t="e">
        <f t="shared" si="24"/>
        <v>#REF!</v>
      </c>
      <c r="K123" s="69" t="e">
        <f t="shared" si="24"/>
        <v>#REF!</v>
      </c>
      <c r="L123" s="69" t="e">
        <f t="shared" si="24"/>
        <v>#REF!</v>
      </c>
      <c r="M123" s="69" t="e">
        <f t="shared" si="24"/>
        <v>#REF!</v>
      </c>
      <c r="N123" s="69" t="e">
        <f t="shared" si="24"/>
        <v>#REF!</v>
      </c>
      <c r="O123" s="69" t="e">
        <f t="shared" si="24"/>
        <v>#REF!</v>
      </c>
    </row>
    <row r="124" spans="1:15" s="40" customFormat="1" ht="15.75" customHeight="1" thickBot="1">
      <c r="A124" s="146"/>
      <c r="B124" s="147"/>
      <c r="C124" s="57" t="s">
        <v>254</v>
      </c>
      <c r="D124" s="58" t="e">
        <f aca="true" t="shared" si="25" ref="D124:O124">D118+D120+D122</f>
        <v>#REF!</v>
      </c>
      <c r="E124" s="58" t="e">
        <f t="shared" si="25"/>
        <v>#REF!</v>
      </c>
      <c r="F124" s="58" t="e">
        <f t="shared" si="25"/>
        <v>#REF!</v>
      </c>
      <c r="G124" s="58" t="e">
        <f t="shared" si="25"/>
        <v>#REF!</v>
      </c>
      <c r="H124" s="58" t="e">
        <f t="shared" si="25"/>
        <v>#REF!</v>
      </c>
      <c r="I124" s="58" t="e">
        <f t="shared" si="25"/>
        <v>#REF!</v>
      </c>
      <c r="J124" s="58" t="e">
        <f t="shared" si="25"/>
        <v>#REF!</v>
      </c>
      <c r="K124" s="58" t="e">
        <f t="shared" si="25"/>
        <v>#REF!</v>
      </c>
      <c r="L124" s="58" t="e">
        <f t="shared" si="25"/>
        <v>#REF!</v>
      </c>
      <c r="M124" s="58" t="e">
        <f t="shared" si="25"/>
        <v>#REF!</v>
      </c>
      <c r="N124" s="58" t="e">
        <f t="shared" si="25"/>
        <v>#REF!</v>
      </c>
      <c r="O124" s="58" t="e">
        <f t="shared" si="25"/>
        <v>#REF!</v>
      </c>
    </row>
    <row r="125" spans="1:15" ht="15.75" thickBot="1">
      <c r="A125" s="151" t="s">
        <v>384</v>
      </c>
      <c r="B125" s="152"/>
      <c r="C125" s="153"/>
      <c r="D125" s="83" t="s">
        <v>240</v>
      </c>
      <c r="E125" s="83" t="s">
        <v>241</v>
      </c>
      <c r="F125" s="83" t="s">
        <v>242</v>
      </c>
      <c r="G125" s="83" t="s">
        <v>243</v>
      </c>
      <c r="H125" s="83" t="s">
        <v>244</v>
      </c>
      <c r="I125" s="83" t="s">
        <v>245</v>
      </c>
      <c r="J125" s="83" t="s">
        <v>246</v>
      </c>
      <c r="K125" s="83" t="s">
        <v>247</v>
      </c>
      <c r="L125" s="83" t="s">
        <v>248</v>
      </c>
      <c r="M125" s="83" t="s">
        <v>249</v>
      </c>
      <c r="N125" s="83" t="s">
        <v>250</v>
      </c>
      <c r="O125" s="83" t="s">
        <v>251</v>
      </c>
    </row>
    <row r="126" spans="1:15" ht="21" customHeight="1" thickBot="1">
      <c r="A126" s="148" t="s">
        <v>383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50"/>
    </row>
    <row r="127" spans="1:15" s="40" customFormat="1" ht="15.75" customHeight="1">
      <c r="A127" s="159" t="s">
        <v>252</v>
      </c>
      <c r="B127" s="160"/>
      <c r="C127" s="52" t="s">
        <v>253</v>
      </c>
      <c r="D127" s="53" t="e">
        <f>SUMIF(#REF!,"=К",#REF!)</f>
        <v>#REF!</v>
      </c>
      <c r="E127" s="53" t="e">
        <f>SUMIF(#REF!,"=К",#REF!)</f>
        <v>#REF!</v>
      </c>
      <c r="F127" s="53" t="e">
        <f>SUMIF(#REF!,"=К",#REF!)</f>
        <v>#REF!</v>
      </c>
      <c r="G127" s="53" t="e">
        <f>SUMIF(#REF!,"=К",#REF!)</f>
        <v>#REF!</v>
      </c>
      <c r="H127" s="53" t="e">
        <f>SUMIF(#REF!,"=К",#REF!)</f>
        <v>#REF!</v>
      </c>
      <c r="I127" s="53" t="e">
        <f>SUMIF(#REF!,"=К",#REF!)</f>
        <v>#REF!</v>
      </c>
      <c r="J127" s="53" t="e">
        <f>SUMIF(#REF!,"=К",#REF!)</f>
        <v>#REF!</v>
      </c>
      <c r="K127" s="53" t="e">
        <f>SUMIF(#REF!,"=К",#REF!)</f>
        <v>#REF!</v>
      </c>
      <c r="L127" s="53" t="e">
        <f>SUMIF(#REF!,"=К",#REF!)</f>
        <v>#REF!</v>
      </c>
      <c r="M127" s="53" t="e">
        <f>SUMIF(#REF!,"=К",#REF!)</f>
        <v>#REF!</v>
      </c>
      <c r="N127" s="53" t="e">
        <f>SUMIF(#REF!,"=К",#REF!)</f>
        <v>#REF!</v>
      </c>
      <c r="O127" s="53" t="e">
        <f>SUMIF(#REF!,"=К",#REF!)</f>
        <v>#REF!</v>
      </c>
    </row>
    <row r="128" spans="1:15" s="40" customFormat="1" ht="15.75" customHeight="1">
      <c r="A128" s="161"/>
      <c r="B128" s="162"/>
      <c r="C128" s="66" t="s">
        <v>254</v>
      </c>
      <c r="D128" s="63" t="e">
        <f>COUNTIF(#REF!,"=К")</f>
        <v>#REF!</v>
      </c>
      <c r="E128" s="63" t="e">
        <f>COUNTIF(#REF!,"=К")</f>
        <v>#REF!</v>
      </c>
      <c r="F128" s="63" t="e">
        <f>COUNTIF(#REF!,"=К")</f>
        <v>#REF!</v>
      </c>
      <c r="G128" s="63" t="e">
        <f>COUNTIF(#REF!,"=К")</f>
        <v>#REF!</v>
      </c>
      <c r="H128" s="63" t="e">
        <f>COUNTIF(#REF!,"=К")</f>
        <v>#REF!</v>
      </c>
      <c r="I128" s="63" t="e">
        <f>COUNTIF(#REF!,"=К")</f>
        <v>#REF!</v>
      </c>
      <c r="J128" s="63" t="e">
        <f>COUNTIF(#REF!,"=К")</f>
        <v>#REF!</v>
      </c>
      <c r="K128" s="63" t="e">
        <f>COUNTIF(#REF!,"=К")</f>
        <v>#REF!</v>
      </c>
      <c r="L128" s="63" t="e">
        <f>COUNTIF(#REF!,"=К")</f>
        <v>#REF!</v>
      </c>
      <c r="M128" s="63" t="e">
        <f>COUNTIF(#REF!,"=К")</f>
        <v>#REF!</v>
      </c>
      <c r="N128" s="63" t="e">
        <f>COUNTIF(#REF!,"=К")</f>
        <v>#REF!</v>
      </c>
      <c r="O128" s="63" t="e">
        <f>COUNTIF(#REF!,"=К")</f>
        <v>#REF!</v>
      </c>
    </row>
    <row r="129" spans="1:15" s="40" customFormat="1" ht="15.75" customHeight="1">
      <c r="A129" s="142" t="s">
        <v>255</v>
      </c>
      <c r="B129" s="143"/>
      <c r="C129" s="56" t="s">
        <v>253</v>
      </c>
      <c r="D129" s="55" t="e">
        <f>SUMIF(#REF!,"=Т",#REF!)</f>
        <v>#REF!</v>
      </c>
      <c r="E129" s="55" t="e">
        <f>SUMIF(#REF!,"=Т",#REF!)</f>
        <v>#REF!</v>
      </c>
      <c r="F129" s="55" t="e">
        <f>SUMIF(#REF!,"=Т",#REF!)</f>
        <v>#REF!</v>
      </c>
      <c r="G129" s="55" t="e">
        <f>SUMIF(#REF!,"=Т",#REF!)</f>
        <v>#REF!</v>
      </c>
      <c r="H129" s="55" t="e">
        <f>SUMIF(#REF!,"=Т",#REF!)</f>
        <v>#REF!</v>
      </c>
      <c r="I129" s="55" t="e">
        <f>SUMIF(#REF!,"=Т",#REF!)</f>
        <v>#REF!</v>
      </c>
      <c r="J129" s="55" t="e">
        <f>SUMIF(#REF!,"=Т",#REF!)</f>
        <v>#REF!</v>
      </c>
      <c r="K129" s="55" t="e">
        <f>SUMIF(#REF!,"=Т",#REF!)</f>
        <v>#REF!</v>
      </c>
      <c r="L129" s="55" t="e">
        <f>SUMIF(#REF!,"=Т",#REF!)</f>
        <v>#REF!</v>
      </c>
      <c r="M129" s="55" t="e">
        <f>SUMIF(#REF!,"=Т",#REF!)</f>
        <v>#REF!</v>
      </c>
      <c r="N129" s="55" t="e">
        <f>SUMIF(#REF!,"=Т",#REF!)</f>
        <v>#REF!</v>
      </c>
      <c r="O129" s="55" t="e">
        <f>SUMIF(#REF!,"=Т",#REF!)</f>
        <v>#REF!</v>
      </c>
    </row>
    <row r="130" spans="1:15" s="40" customFormat="1" ht="15.75" customHeight="1">
      <c r="A130" s="142"/>
      <c r="B130" s="143"/>
      <c r="C130" s="54" t="s">
        <v>254</v>
      </c>
      <c r="D130" s="55" t="e">
        <f>COUNTIF(#REF!,"=Т")</f>
        <v>#REF!</v>
      </c>
      <c r="E130" s="55" t="e">
        <f>COUNTIF(#REF!,"=Т")</f>
        <v>#REF!</v>
      </c>
      <c r="F130" s="55" t="e">
        <f>COUNTIF(#REF!,"=Т")</f>
        <v>#REF!</v>
      </c>
      <c r="G130" s="55" t="e">
        <f>COUNTIF(#REF!,"=Т")</f>
        <v>#REF!</v>
      </c>
      <c r="H130" s="55" t="e">
        <f>COUNTIF(#REF!,"=Т")</f>
        <v>#REF!</v>
      </c>
      <c r="I130" s="55" t="e">
        <f>COUNTIF(#REF!,"=Т")</f>
        <v>#REF!</v>
      </c>
      <c r="J130" s="55" t="e">
        <f>COUNTIF(#REF!,"=Т")</f>
        <v>#REF!</v>
      </c>
      <c r="K130" s="55" t="e">
        <f>COUNTIF(#REF!,"=Т")</f>
        <v>#REF!</v>
      </c>
      <c r="L130" s="55" t="e">
        <f>COUNTIF(#REF!,"=Т")</f>
        <v>#REF!</v>
      </c>
      <c r="M130" s="55" t="e">
        <f>COUNTIF(#REF!,"=Т")</f>
        <v>#REF!</v>
      </c>
      <c r="N130" s="55" t="e">
        <f>COUNTIF(#REF!,"=Т")</f>
        <v>#REF!</v>
      </c>
      <c r="O130" s="55" t="e">
        <f>COUNTIF(#REF!,"=Т")</f>
        <v>#REF!</v>
      </c>
    </row>
    <row r="131" spans="1:15" s="40" customFormat="1" ht="15.75" customHeight="1">
      <c r="A131" s="157" t="s">
        <v>256</v>
      </c>
      <c r="B131" s="158"/>
      <c r="C131" s="56" t="s">
        <v>253</v>
      </c>
      <c r="D131" s="55" t="e">
        <f>(SUMIF(#REF!,"=ТО",#REF!))*0.1</f>
        <v>#REF!</v>
      </c>
      <c r="E131" s="55" t="e">
        <f>(SUMIF(#REF!,"=ТО",#REF!))*0.1</f>
        <v>#REF!</v>
      </c>
      <c r="F131" s="55" t="e">
        <f>(SUMIF(#REF!,"=ТО",#REF!))*0.1</f>
        <v>#REF!</v>
      </c>
      <c r="G131" s="55" t="e">
        <f>(SUMIF(#REF!,"=ТО",#REF!))*0.1</f>
        <v>#REF!</v>
      </c>
      <c r="H131" s="55" t="e">
        <f>(SUMIF(#REF!,"=ТО",#REF!))*0.1</f>
        <v>#REF!</v>
      </c>
      <c r="I131" s="55" t="e">
        <f>(SUMIF(#REF!,"=ТО",#REF!))*0.1</f>
        <v>#REF!</v>
      </c>
      <c r="J131" s="55" t="e">
        <f>(SUMIF(#REF!,"=ТО",#REF!))*0.1</f>
        <v>#REF!</v>
      </c>
      <c r="K131" s="55" t="e">
        <f>(SUMIF(#REF!,"=ТО",#REF!))*0.1</f>
        <v>#REF!</v>
      </c>
      <c r="L131" s="55" t="e">
        <f>(SUMIF(#REF!,"=ТО",#REF!))*0.1</f>
        <v>#REF!</v>
      </c>
      <c r="M131" s="55" t="e">
        <f>(SUMIF(#REF!,"=ТО",#REF!))*0.1</f>
        <v>#REF!</v>
      </c>
      <c r="N131" s="55" t="e">
        <f>(SUMIF(#REF!,"=ТО",#REF!))*0.1</f>
        <v>#REF!</v>
      </c>
      <c r="O131" s="55" t="e">
        <f>(SUMIF(#REF!,"=ТО",#REF!))*0.1</f>
        <v>#REF!</v>
      </c>
    </row>
    <row r="132" spans="1:15" s="40" customFormat="1" ht="15.75" customHeight="1">
      <c r="A132" s="144"/>
      <c r="B132" s="145"/>
      <c r="C132" s="54" t="s">
        <v>254</v>
      </c>
      <c r="D132" s="55" t="e">
        <f>COUNTIF(#REF!,"=ТО")</f>
        <v>#REF!</v>
      </c>
      <c r="E132" s="55" t="e">
        <f>COUNTIF(#REF!,"=ТО")</f>
        <v>#REF!</v>
      </c>
      <c r="F132" s="55" t="e">
        <f>COUNTIF(#REF!,"=ТО")</f>
        <v>#REF!</v>
      </c>
      <c r="G132" s="55" t="e">
        <f>COUNTIF(#REF!,"=ТО")</f>
        <v>#REF!</v>
      </c>
      <c r="H132" s="55" t="e">
        <f>COUNTIF(#REF!,"=ТО")</f>
        <v>#REF!</v>
      </c>
      <c r="I132" s="55" t="e">
        <f>COUNTIF(#REF!,"=ТО")</f>
        <v>#REF!</v>
      </c>
      <c r="J132" s="55" t="e">
        <f>COUNTIF(#REF!,"=ТО")</f>
        <v>#REF!</v>
      </c>
      <c r="K132" s="55" t="e">
        <f>COUNTIF(#REF!,"=ТО")</f>
        <v>#REF!</v>
      </c>
      <c r="L132" s="55" t="e">
        <f>COUNTIF(#REF!,"=ТО")</f>
        <v>#REF!</v>
      </c>
      <c r="M132" s="55" t="e">
        <f>COUNTIF(#REF!,"=ТО")</f>
        <v>#REF!</v>
      </c>
      <c r="N132" s="55" t="e">
        <f>COUNTIF(#REF!,"=ТО")</f>
        <v>#REF!</v>
      </c>
      <c r="O132" s="55" t="e">
        <f>COUNTIF(#REF!,"=ТО")</f>
        <v>#REF!</v>
      </c>
    </row>
    <row r="133" spans="1:15" s="40" customFormat="1" ht="15.75" customHeight="1">
      <c r="A133" s="140" t="s">
        <v>257</v>
      </c>
      <c r="B133" s="141"/>
      <c r="C133" s="56" t="s">
        <v>253</v>
      </c>
      <c r="D133" s="69" t="e">
        <f aca="true" t="shared" si="26" ref="D133:O133">D127+D129+D131</f>
        <v>#REF!</v>
      </c>
      <c r="E133" s="69" t="e">
        <f t="shared" si="26"/>
        <v>#REF!</v>
      </c>
      <c r="F133" s="69" t="e">
        <f t="shared" si="26"/>
        <v>#REF!</v>
      </c>
      <c r="G133" s="69" t="e">
        <f t="shared" si="26"/>
        <v>#REF!</v>
      </c>
      <c r="H133" s="69" t="e">
        <f t="shared" si="26"/>
        <v>#REF!</v>
      </c>
      <c r="I133" s="69" t="e">
        <f t="shared" si="26"/>
        <v>#REF!</v>
      </c>
      <c r="J133" s="69" t="e">
        <f t="shared" si="26"/>
        <v>#REF!</v>
      </c>
      <c r="K133" s="69" t="e">
        <f t="shared" si="26"/>
        <v>#REF!</v>
      </c>
      <c r="L133" s="69" t="e">
        <f t="shared" si="26"/>
        <v>#REF!</v>
      </c>
      <c r="M133" s="69" t="e">
        <f t="shared" si="26"/>
        <v>#REF!</v>
      </c>
      <c r="N133" s="69" t="e">
        <f t="shared" si="26"/>
        <v>#REF!</v>
      </c>
      <c r="O133" s="69" t="e">
        <f t="shared" si="26"/>
        <v>#REF!</v>
      </c>
    </row>
    <row r="134" spans="1:15" s="40" customFormat="1" ht="15.75" customHeight="1" thickBot="1">
      <c r="A134" s="146"/>
      <c r="B134" s="147"/>
      <c r="C134" s="57" t="s">
        <v>254</v>
      </c>
      <c r="D134" s="58" t="e">
        <f aca="true" t="shared" si="27" ref="D134:O134">D128+D130+D132</f>
        <v>#REF!</v>
      </c>
      <c r="E134" s="58" t="e">
        <f t="shared" si="27"/>
        <v>#REF!</v>
      </c>
      <c r="F134" s="58" t="e">
        <f t="shared" si="27"/>
        <v>#REF!</v>
      </c>
      <c r="G134" s="58" t="e">
        <f t="shared" si="27"/>
        <v>#REF!</v>
      </c>
      <c r="H134" s="58" t="e">
        <f t="shared" si="27"/>
        <v>#REF!</v>
      </c>
      <c r="I134" s="58" t="e">
        <f t="shared" si="27"/>
        <v>#REF!</v>
      </c>
      <c r="J134" s="58" t="e">
        <f t="shared" si="27"/>
        <v>#REF!</v>
      </c>
      <c r="K134" s="58" t="e">
        <f t="shared" si="27"/>
        <v>#REF!</v>
      </c>
      <c r="L134" s="58" t="e">
        <f t="shared" si="27"/>
        <v>#REF!</v>
      </c>
      <c r="M134" s="58" t="e">
        <f t="shared" si="27"/>
        <v>#REF!</v>
      </c>
      <c r="N134" s="58" t="e">
        <f t="shared" si="27"/>
        <v>#REF!</v>
      </c>
      <c r="O134" s="58" t="e">
        <f t="shared" si="27"/>
        <v>#REF!</v>
      </c>
    </row>
    <row r="135" spans="1:15" ht="15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ht="18.75">
      <c r="A136" s="163" t="s">
        <v>385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</row>
    <row r="137" spans="1:15" ht="18.75">
      <c r="A137" s="84" t="s">
        <v>386</v>
      </c>
      <c r="B137" s="82" t="s">
        <v>387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5.75" thickBo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ht="18" customHeight="1">
      <c r="A139" s="165" t="s">
        <v>260</v>
      </c>
      <c r="B139" s="170"/>
      <c r="C139" s="172" t="s">
        <v>261</v>
      </c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3"/>
    </row>
    <row r="140" spans="1:15" ht="18" customHeight="1" thickBot="1">
      <c r="A140" s="169"/>
      <c r="B140" s="171"/>
      <c r="C140" s="21" t="s">
        <v>262</v>
      </c>
      <c r="D140" s="21" t="s">
        <v>240</v>
      </c>
      <c r="E140" s="21" t="s">
        <v>241</v>
      </c>
      <c r="F140" s="21" t="s">
        <v>242</v>
      </c>
      <c r="G140" s="21" t="s">
        <v>243</v>
      </c>
      <c r="H140" s="21" t="s">
        <v>244</v>
      </c>
      <c r="I140" s="21" t="s">
        <v>245</v>
      </c>
      <c r="J140" s="21" t="s">
        <v>246</v>
      </c>
      <c r="K140" s="21" t="s">
        <v>247</v>
      </c>
      <c r="L140" s="21" t="s">
        <v>248</v>
      </c>
      <c r="M140" s="21" t="s">
        <v>249</v>
      </c>
      <c r="N140" s="21" t="s">
        <v>250</v>
      </c>
      <c r="O140" s="22" t="s">
        <v>251</v>
      </c>
    </row>
    <row r="141" spans="1:15" ht="15.75" customHeight="1">
      <c r="A141" s="165" t="s">
        <v>252</v>
      </c>
      <c r="B141" s="70" t="s">
        <v>253</v>
      </c>
      <c r="C141" s="71" t="e">
        <f aca="true" t="shared" si="28" ref="C141:C148">SUM(D141:O141)</f>
        <v>#REF!</v>
      </c>
      <c r="D141" s="72" t="e">
        <f aca="true" t="shared" si="29" ref="D141:O141">D4+D13+D22+D31+D49+D58+D67+D77+D86+D95+D104+D117+D127</f>
        <v>#REF!</v>
      </c>
      <c r="E141" s="72" t="e">
        <f t="shared" si="29"/>
        <v>#REF!</v>
      </c>
      <c r="F141" s="72" t="e">
        <f t="shared" si="29"/>
        <v>#REF!</v>
      </c>
      <c r="G141" s="72" t="e">
        <f t="shared" si="29"/>
        <v>#REF!</v>
      </c>
      <c r="H141" s="72" t="e">
        <f t="shared" si="29"/>
        <v>#REF!</v>
      </c>
      <c r="I141" s="72" t="e">
        <f t="shared" si="29"/>
        <v>#REF!</v>
      </c>
      <c r="J141" s="72" t="e">
        <f t="shared" si="29"/>
        <v>#REF!</v>
      </c>
      <c r="K141" s="72" t="e">
        <f t="shared" si="29"/>
        <v>#REF!</v>
      </c>
      <c r="L141" s="72" t="e">
        <f t="shared" si="29"/>
        <v>#REF!</v>
      </c>
      <c r="M141" s="72" t="e">
        <f t="shared" si="29"/>
        <v>#REF!</v>
      </c>
      <c r="N141" s="72" t="e">
        <f t="shared" si="29"/>
        <v>#REF!</v>
      </c>
      <c r="O141" s="72" t="e">
        <f t="shared" si="29"/>
        <v>#REF!</v>
      </c>
    </row>
    <row r="142" spans="1:15" ht="15.75" customHeight="1">
      <c r="A142" s="166"/>
      <c r="B142" s="73" t="s">
        <v>254</v>
      </c>
      <c r="C142" s="74" t="e">
        <f t="shared" si="28"/>
        <v>#REF!</v>
      </c>
      <c r="D142" s="75" t="e">
        <f aca="true" t="shared" si="30" ref="D142:O142">D5+D14+D23+D32+D50+D59+D68+D78+D87+D96+D105+D118+D128</f>
        <v>#REF!</v>
      </c>
      <c r="E142" s="75" t="e">
        <f t="shared" si="30"/>
        <v>#REF!</v>
      </c>
      <c r="F142" s="75" t="e">
        <f t="shared" si="30"/>
        <v>#REF!</v>
      </c>
      <c r="G142" s="75" t="e">
        <f t="shared" si="30"/>
        <v>#REF!</v>
      </c>
      <c r="H142" s="75" t="e">
        <f t="shared" si="30"/>
        <v>#REF!</v>
      </c>
      <c r="I142" s="75" t="e">
        <f t="shared" si="30"/>
        <v>#REF!</v>
      </c>
      <c r="J142" s="75" t="e">
        <f t="shared" si="30"/>
        <v>#REF!</v>
      </c>
      <c r="K142" s="75" t="e">
        <f t="shared" si="30"/>
        <v>#REF!</v>
      </c>
      <c r="L142" s="75" t="e">
        <f t="shared" si="30"/>
        <v>#REF!</v>
      </c>
      <c r="M142" s="75" t="e">
        <f t="shared" si="30"/>
        <v>#REF!</v>
      </c>
      <c r="N142" s="75" t="e">
        <f t="shared" si="30"/>
        <v>#REF!</v>
      </c>
      <c r="O142" s="75" t="e">
        <f t="shared" si="30"/>
        <v>#REF!</v>
      </c>
    </row>
    <row r="143" spans="1:15" ht="15.75" customHeight="1">
      <c r="A143" s="166" t="s">
        <v>255</v>
      </c>
      <c r="B143" s="73" t="s">
        <v>253</v>
      </c>
      <c r="C143" s="74" t="e">
        <f t="shared" si="28"/>
        <v>#REF!</v>
      </c>
      <c r="D143" s="75" t="e">
        <f aca="true" t="shared" si="31" ref="D143:O143">D6+D15+D24+D33+D42+D51+D60+D69+D79+D88+D97+D106+D119+D129</f>
        <v>#REF!</v>
      </c>
      <c r="E143" s="75" t="e">
        <f t="shared" si="31"/>
        <v>#REF!</v>
      </c>
      <c r="F143" s="75" t="e">
        <f t="shared" si="31"/>
        <v>#REF!</v>
      </c>
      <c r="G143" s="75" t="e">
        <f t="shared" si="31"/>
        <v>#REF!</v>
      </c>
      <c r="H143" s="75" t="e">
        <f t="shared" si="31"/>
        <v>#REF!</v>
      </c>
      <c r="I143" s="75" t="e">
        <f t="shared" si="31"/>
        <v>#REF!</v>
      </c>
      <c r="J143" s="75" t="e">
        <f t="shared" si="31"/>
        <v>#REF!</v>
      </c>
      <c r="K143" s="75" t="e">
        <f t="shared" si="31"/>
        <v>#REF!</v>
      </c>
      <c r="L143" s="75" t="e">
        <f t="shared" si="31"/>
        <v>#REF!</v>
      </c>
      <c r="M143" s="75" t="e">
        <f t="shared" si="31"/>
        <v>#REF!</v>
      </c>
      <c r="N143" s="75" t="e">
        <f t="shared" si="31"/>
        <v>#REF!</v>
      </c>
      <c r="O143" s="75" t="e">
        <f t="shared" si="31"/>
        <v>#REF!</v>
      </c>
    </row>
    <row r="144" spans="1:15" ht="15.75" customHeight="1">
      <c r="A144" s="166"/>
      <c r="B144" s="73" t="s">
        <v>254</v>
      </c>
      <c r="C144" s="74" t="e">
        <f t="shared" si="28"/>
        <v>#REF!</v>
      </c>
      <c r="D144" s="75" t="e">
        <f aca="true" t="shared" si="32" ref="D144:O144">D7+D16+D25+D34+D43+D52+D61+D70+D80+D89+D98+D107+D120+D130</f>
        <v>#REF!</v>
      </c>
      <c r="E144" s="75" t="e">
        <f t="shared" si="32"/>
        <v>#REF!</v>
      </c>
      <c r="F144" s="75" t="e">
        <f t="shared" si="32"/>
        <v>#REF!</v>
      </c>
      <c r="G144" s="75" t="e">
        <f t="shared" si="32"/>
        <v>#REF!</v>
      </c>
      <c r="H144" s="75" t="e">
        <f t="shared" si="32"/>
        <v>#REF!</v>
      </c>
      <c r="I144" s="75" t="e">
        <f t="shared" si="32"/>
        <v>#REF!</v>
      </c>
      <c r="J144" s="75" t="e">
        <f t="shared" si="32"/>
        <v>#REF!</v>
      </c>
      <c r="K144" s="75" t="e">
        <f t="shared" si="32"/>
        <v>#REF!</v>
      </c>
      <c r="L144" s="75" t="e">
        <f t="shared" si="32"/>
        <v>#REF!</v>
      </c>
      <c r="M144" s="75" t="e">
        <f t="shared" si="32"/>
        <v>#REF!</v>
      </c>
      <c r="N144" s="75" t="e">
        <f t="shared" si="32"/>
        <v>#REF!</v>
      </c>
      <c r="O144" s="75" t="e">
        <f t="shared" si="32"/>
        <v>#REF!</v>
      </c>
    </row>
    <row r="145" spans="1:15" ht="15.75" customHeight="1">
      <c r="A145" s="166" t="s">
        <v>256</v>
      </c>
      <c r="B145" s="73" t="s">
        <v>253</v>
      </c>
      <c r="C145" s="76" t="e">
        <f t="shared" si="28"/>
        <v>#REF!</v>
      </c>
      <c r="D145" s="77" t="e">
        <f aca="true" t="shared" si="33" ref="D145:O145">D8+D17+D26+D35+D44+D53+D62+D71+D81+D90+D99+D108+D121+D131</f>
        <v>#REF!</v>
      </c>
      <c r="E145" s="77" t="e">
        <f t="shared" si="33"/>
        <v>#REF!</v>
      </c>
      <c r="F145" s="77" t="e">
        <f t="shared" si="33"/>
        <v>#REF!</v>
      </c>
      <c r="G145" s="77" t="e">
        <f t="shared" si="33"/>
        <v>#REF!</v>
      </c>
      <c r="H145" s="77" t="e">
        <f t="shared" si="33"/>
        <v>#REF!</v>
      </c>
      <c r="I145" s="77" t="e">
        <f t="shared" si="33"/>
        <v>#REF!</v>
      </c>
      <c r="J145" s="77" t="e">
        <f t="shared" si="33"/>
        <v>#REF!</v>
      </c>
      <c r="K145" s="77" t="e">
        <f t="shared" si="33"/>
        <v>#REF!</v>
      </c>
      <c r="L145" s="77" t="e">
        <f t="shared" si="33"/>
        <v>#REF!</v>
      </c>
      <c r="M145" s="77" t="e">
        <f t="shared" si="33"/>
        <v>#REF!</v>
      </c>
      <c r="N145" s="77" t="e">
        <f t="shared" si="33"/>
        <v>#REF!</v>
      </c>
      <c r="O145" s="77" t="e">
        <f t="shared" si="33"/>
        <v>#REF!</v>
      </c>
    </row>
    <row r="146" spans="1:15" ht="15.75" customHeight="1">
      <c r="A146" s="166"/>
      <c r="B146" s="73" t="s">
        <v>254</v>
      </c>
      <c r="C146" s="74" t="e">
        <f t="shared" si="28"/>
        <v>#REF!</v>
      </c>
      <c r="D146" s="78" t="e">
        <f aca="true" t="shared" si="34" ref="D146:O146">D9+D18+D27+D36+D45+D54+D63+D72+D82+D91+D100+D109+D122+D132</f>
        <v>#REF!</v>
      </c>
      <c r="E146" s="78" t="e">
        <f t="shared" si="34"/>
        <v>#REF!</v>
      </c>
      <c r="F146" s="78" t="e">
        <f t="shared" si="34"/>
        <v>#REF!</v>
      </c>
      <c r="G146" s="78" t="e">
        <f t="shared" si="34"/>
        <v>#REF!</v>
      </c>
      <c r="H146" s="78" t="e">
        <f t="shared" si="34"/>
        <v>#REF!</v>
      </c>
      <c r="I146" s="78" t="e">
        <f t="shared" si="34"/>
        <v>#REF!</v>
      </c>
      <c r="J146" s="78" t="e">
        <f t="shared" si="34"/>
        <v>#REF!</v>
      </c>
      <c r="K146" s="78" t="e">
        <f t="shared" si="34"/>
        <v>#REF!</v>
      </c>
      <c r="L146" s="78" t="e">
        <f t="shared" si="34"/>
        <v>#REF!</v>
      </c>
      <c r="M146" s="78" t="e">
        <f t="shared" si="34"/>
        <v>#REF!</v>
      </c>
      <c r="N146" s="78" t="e">
        <f t="shared" si="34"/>
        <v>#REF!</v>
      </c>
      <c r="O146" s="78" t="e">
        <f t="shared" si="34"/>
        <v>#REF!</v>
      </c>
    </row>
    <row r="147" spans="1:15" ht="15.75" customHeight="1">
      <c r="A147" s="167" t="s">
        <v>257</v>
      </c>
      <c r="B147" s="73" t="s">
        <v>253</v>
      </c>
      <c r="C147" s="76" t="e">
        <f t="shared" si="28"/>
        <v>#REF!</v>
      </c>
      <c r="D147" s="77" t="e">
        <f aca="true" t="shared" si="35" ref="D147:O147">D141+D143+D145</f>
        <v>#REF!</v>
      </c>
      <c r="E147" s="77" t="e">
        <f t="shared" si="35"/>
        <v>#REF!</v>
      </c>
      <c r="F147" s="77" t="e">
        <f t="shared" si="35"/>
        <v>#REF!</v>
      </c>
      <c r="G147" s="77" t="e">
        <f t="shared" si="35"/>
        <v>#REF!</v>
      </c>
      <c r="H147" s="77" t="e">
        <f t="shared" si="35"/>
        <v>#REF!</v>
      </c>
      <c r="I147" s="77" t="e">
        <f t="shared" si="35"/>
        <v>#REF!</v>
      </c>
      <c r="J147" s="77" t="e">
        <f t="shared" si="35"/>
        <v>#REF!</v>
      </c>
      <c r="K147" s="77" t="e">
        <f t="shared" si="35"/>
        <v>#REF!</v>
      </c>
      <c r="L147" s="77" t="e">
        <f t="shared" si="35"/>
        <v>#REF!</v>
      </c>
      <c r="M147" s="77" t="e">
        <f t="shared" si="35"/>
        <v>#REF!</v>
      </c>
      <c r="N147" s="77" t="e">
        <f t="shared" si="35"/>
        <v>#REF!</v>
      </c>
      <c r="O147" s="77" t="e">
        <f t="shared" si="35"/>
        <v>#REF!</v>
      </c>
    </row>
    <row r="148" spans="1:15" ht="15.75" customHeight="1" thickBot="1">
      <c r="A148" s="168"/>
      <c r="B148" s="79" t="s">
        <v>254</v>
      </c>
      <c r="C148" s="80" t="e">
        <f t="shared" si="28"/>
        <v>#REF!</v>
      </c>
      <c r="D148" s="81" t="e">
        <f aca="true" t="shared" si="36" ref="D148:O148">D142+D144+D146</f>
        <v>#REF!</v>
      </c>
      <c r="E148" s="81" t="e">
        <f t="shared" si="36"/>
        <v>#REF!</v>
      </c>
      <c r="F148" s="81" t="e">
        <f t="shared" si="36"/>
        <v>#REF!</v>
      </c>
      <c r="G148" s="81" t="e">
        <f t="shared" si="36"/>
        <v>#REF!</v>
      </c>
      <c r="H148" s="81" t="e">
        <f t="shared" si="36"/>
        <v>#REF!</v>
      </c>
      <c r="I148" s="81" t="e">
        <f t="shared" si="36"/>
        <v>#REF!</v>
      </c>
      <c r="J148" s="81" t="e">
        <f t="shared" si="36"/>
        <v>#REF!</v>
      </c>
      <c r="K148" s="81" t="e">
        <f t="shared" si="36"/>
        <v>#REF!</v>
      </c>
      <c r="L148" s="81" t="e">
        <f t="shared" si="36"/>
        <v>#REF!</v>
      </c>
      <c r="M148" s="81" t="e">
        <f t="shared" si="36"/>
        <v>#REF!</v>
      </c>
      <c r="N148" s="81" t="e">
        <f t="shared" si="36"/>
        <v>#REF!</v>
      </c>
      <c r="O148" s="81" t="e">
        <f t="shared" si="36"/>
        <v>#REF!</v>
      </c>
    </row>
    <row r="149" spans="1:15" ht="1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ht="1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ht="1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ht="1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ht="18.75">
      <c r="A153" s="174" t="s">
        <v>370</v>
      </c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</row>
  </sheetData>
  <sheetProtection/>
  <mergeCells count="84"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  <mergeCell ref="A4:B5"/>
    <mergeCell ref="A6:B7"/>
    <mergeCell ref="A8:B9"/>
    <mergeCell ref="A10:B11"/>
    <mergeCell ref="A30:O30"/>
    <mergeCell ref="A31:B32"/>
    <mergeCell ref="A33:B34"/>
    <mergeCell ref="A13:B14"/>
    <mergeCell ref="A15:B16"/>
    <mergeCell ref="A17:B18"/>
    <mergeCell ref="A19:B20"/>
    <mergeCell ref="A35:B36"/>
    <mergeCell ref="A37:B38"/>
    <mergeCell ref="A41:O41"/>
    <mergeCell ref="A42:B43"/>
    <mergeCell ref="A44:B45"/>
    <mergeCell ref="A46:B47"/>
    <mergeCell ref="A48:O48"/>
    <mergeCell ref="A49:B50"/>
    <mergeCell ref="A51:B52"/>
    <mergeCell ref="A53:B54"/>
    <mergeCell ref="A55:B56"/>
    <mergeCell ref="A57:O57"/>
    <mergeCell ref="A58:B59"/>
    <mergeCell ref="A60:B61"/>
    <mergeCell ref="A62:B63"/>
    <mergeCell ref="A64:B65"/>
    <mergeCell ref="A66:O66"/>
    <mergeCell ref="A67:B68"/>
    <mergeCell ref="A69:B70"/>
    <mergeCell ref="A71:B72"/>
    <mergeCell ref="A73:B74"/>
    <mergeCell ref="A76:O76"/>
    <mergeCell ref="A75:C75"/>
    <mergeCell ref="A86:B87"/>
    <mergeCell ref="A88:B89"/>
    <mergeCell ref="A90:B91"/>
    <mergeCell ref="A77:B78"/>
    <mergeCell ref="A79:B80"/>
    <mergeCell ref="A81:B82"/>
    <mergeCell ref="A83:B84"/>
    <mergeCell ref="A85:O85"/>
    <mergeCell ref="A92:B93"/>
    <mergeCell ref="A94:O94"/>
    <mergeCell ref="A95:B96"/>
    <mergeCell ref="A97:B98"/>
    <mergeCell ref="A99:B100"/>
    <mergeCell ref="A101:B102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117:B118"/>
    <mergeCell ref="A119:B120"/>
    <mergeCell ref="A121:B122"/>
    <mergeCell ref="A123:B124"/>
    <mergeCell ref="A126:O126"/>
    <mergeCell ref="A127:B128"/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K308"/>
  <sheetViews>
    <sheetView tabSelected="1" view="pageBreakPreview" zoomScaleSheetLayoutView="100" workbookViewId="0" topLeftCell="A70">
      <selection activeCell="K19" sqref="K19"/>
    </sheetView>
  </sheetViews>
  <sheetFormatPr defaultColWidth="9.140625" defaultRowHeight="15"/>
  <cols>
    <col min="1" max="1" width="4.00390625" style="3" customWidth="1"/>
    <col min="2" max="2" width="23.7109375" style="19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52.28125" style="14" customWidth="1"/>
    <col min="12" max="12" width="9.140625" style="34" customWidth="1"/>
    <col min="13" max="14" width="9.140625" style="11" customWidth="1"/>
    <col min="15" max="16384" width="9.140625" style="1" customWidth="1"/>
  </cols>
  <sheetData>
    <row r="1" spans="1:11" ht="14.25" customHeight="1">
      <c r="A1" s="190" t="s">
        <v>392</v>
      </c>
      <c r="B1" s="190" t="s">
        <v>393</v>
      </c>
      <c r="C1" s="190" t="s">
        <v>394</v>
      </c>
      <c r="D1" s="190" t="s">
        <v>395</v>
      </c>
      <c r="E1" s="190" t="s">
        <v>396</v>
      </c>
      <c r="F1" s="189" t="s">
        <v>397</v>
      </c>
      <c r="G1" s="189"/>
      <c r="H1" s="190" t="s">
        <v>389</v>
      </c>
      <c r="I1" s="190" t="s">
        <v>390</v>
      </c>
      <c r="J1" s="193" t="s">
        <v>359</v>
      </c>
      <c r="K1" s="42"/>
    </row>
    <row r="2" spans="1:12" ht="48.75" customHeight="1">
      <c r="A2" s="191"/>
      <c r="B2" s="192"/>
      <c r="C2" s="190"/>
      <c r="D2" s="190"/>
      <c r="E2" s="190"/>
      <c r="F2" s="39" t="s">
        <v>399</v>
      </c>
      <c r="G2" s="39" t="s">
        <v>400</v>
      </c>
      <c r="H2" s="190"/>
      <c r="I2" s="190"/>
      <c r="J2" s="194"/>
      <c r="K2" s="2" t="s">
        <v>409</v>
      </c>
      <c r="L2" s="35"/>
    </row>
    <row r="3" spans="1:12" s="11" customFormat="1" ht="19.5" customHeight="1">
      <c r="A3" s="185" t="s">
        <v>413</v>
      </c>
      <c r="B3" s="185"/>
      <c r="C3" s="185"/>
      <c r="D3" s="185"/>
      <c r="E3" s="185"/>
      <c r="F3" s="43"/>
      <c r="G3" s="43"/>
      <c r="H3" s="43"/>
      <c r="I3" s="43"/>
      <c r="J3" s="43"/>
      <c r="K3" s="44"/>
      <c r="L3" s="34"/>
    </row>
    <row r="4" spans="1:12" s="11" customFormat="1" ht="33" customHeight="1">
      <c r="A4" s="181" t="s">
        <v>414</v>
      </c>
      <c r="B4" s="182"/>
      <c r="C4" s="182"/>
      <c r="D4" s="182"/>
      <c r="E4" s="182"/>
      <c r="F4" s="135"/>
      <c r="G4" s="135"/>
      <c r="H4" s="3"/>
      <c r="I4" s="3"/>
      <c r="J4" s="3"/>
      <c r="K4" s="3"/>
      <c r="L4" s="34"/>
    </row>
    <row r="5" spans="1:12" s="11" customFormat="1" ht="15" customHeight="1">
      <c r="A5" s="6">
        <v>8</v>
      </c>
      <c r="B5" s="13" t="s">
        <v>422</v>
      </c>
      <c r="C5" s="15"/>
      <c r="D5" s="3">
        <v>26645</v>
      </c>
      <c r="E5" s="3"/>
      <c r="F5" s="3">
        <v>84.9</v>
      </c>
      <c r="G5" s="3">
        <v>37.9</v>
      </c>
      <c r="H5" s="3">
        <v>1962</v>
      </c>
      <c r="I5" s="17" t="s">
        <v>288</v>
      </c>
      <c r="J5" s="4">
        <v>2020</v>
      </c>
      <c r="K5" s="95" t="s">
        <v>400</v>
      </c>
      <c r="L5" s="34"/>
    </row>
    <row r="6" spans="1:12" s="11" customFormat="1" ht="15" customHeight="1">
      <c r="A6" s="6">
        <v>17</v>
      </c>
      <c r="B6" s="13" t="s">
        <v>430</v>
      </c>
      <c r="C6" s="3"/>
      <c r="D6" s="3">
        <v>26645</v>
      </c>
      <c r="E6" s="3"/>
      <c r="F6" s="3">
        <v>84.9</v>
      </c>
      <c r="G6" s="3">
        <v>37.9</v>
      </c>
      <c r="H6" s="3">
        <v>1962</v>
      </c>
      <c r="I6" s="17" t="s">
        <v>288</v>
      </c>
      <c r="J6" s="4">
        <v>2018</v>
      </c>
      <c r="K6" s="95" t="s">
        <v>416</v>
      </c>
      <c r="L6" s="34"/>
    </row>
    <row r="7" spans="1:12" s="11" customFormat="1" ht="15" customHeight="1">
      <c r="A7" s="6">
        <v>28</v>
      </c>
      <c r="B7" s="13" t="s">
        <v>436</v>
      </c>
      <c r="C7" s="3"/>
      <c r="D7" s="3">
        <v>26645</v>
      </c>
      <c r="E7" s="94"/>
      <c r="F7" s="94">
        <v>84.9</v>
      </c>
      <c r="G7" s="94">
        <v>37.9</v>
      </c>
      <c r="H7" s="3">
        <v>1962</v>
      </c>
      <c r="I7" s="17" t="s">
        <v>288</v>
      </c>
      <c r="J7" s="4">
        <v>2020</v>
      </c>
      <c r="K7" s="5" t="s">
        <v>400</v>
      </c>
      <c r="L7" s="34"/>
    </row>
    <row r="8" spans="1:12" s="11" customFormat="1" ht="15" customHeight="1">
      <c r="A8" s="6">
        <v>29</v>
      </c>
      <c r="B8" s="13" t="s">
        <v>437</v>
      </c>
      <c r="C8" s="3"/>
      <c r="D8" s="3">
        <v>26645</v>
      </c>
      <c r="E8" s="94"/>
      <c r="F8" s="94">
        <v>80.2</v>
      </c>
      <c r="G8" s="94">
        <v>33.4</v>
      </c>
      <c r="H8" s="3">
        <v>1962</v>
      </c>
      <c r="I8" s="17" t="s">
        <v>288</v>
      </c>
      <c r="J8" s="4">
        <v>2019</v>
      </c>
      <c r="K8" s="5" t="s">
        <v>416</v>
      </c>
      <c r="L8" s="34"/>
    </row>
    <row r="9" spans="1:12" s="11" customFormat="1" ht="15" customHeight="1">
      <c r="A9" s="6">
        <v>32</v>
      </c>
      <c r="B9" s="13" t="s">
        <v>438</v>
      </c>
      <c r="C9" s="3"/>
      <c r="D9" s="3">
        <v>26645</v>
      </c>
      <c r="E9" s="94"/>
      <c r="F9" s="94">
        <v>52.4</v>
      </c>
      <c r="G9" s="94">
        <v>21.4</v>
      </c>
      <c r="H9" s="3">
        <v>1962</v>
      </c>
      <c r="I9" s="17" t="s">
        <v>288</v>
      </c>
      <c r="J9" s="4">
        <v>2018</v>
      </c>
      <c r="K9" s="5" t="s">
        <v>416</v>
      </c>
      <c r="L9" s="34"/>
    </row>
    <row r="10" spans="1:12" s="11" customFormat="1" ht="15" customHeight="1">
      <c r="A10" s="6">
        <v>51</v>
      </c>
      <c r="B10" s="96" t="s">
        <v>444</v>
      </c>
      <c r="C10" s="3"/>
      <c r="D10" s="3">
        <v>26645</v>
      </c>
      <c r="E10" s="3"/>
      <c r="F10" s="3"/>
      <c r="G10" s="3"/>
      <c r="H10" s="3"/>
      <c r="I10" s="3"/>
      <c r="J10" s="4"/>
      <c r="K10" s="5"/>
      <c r="L10" s="34"/>
    </row>
    <row r="11" spans="1:12" s="11" customFormat="1" ht="15" customHeight="1">
      <c r="A11" s="6"/>
      <c r="B11" s="96" t="s">
        <v>445</v>
      </c>
      <c r="C11" s="3" t="s">
        <v>446</v>
      </c>
      <c r="D11" s="3"/>
      <c r="E11" s="3"/>
      <c r="F11" s="3">
        <v>66</v>
      </c>
      <c r="G11" s="3">
        <v>19.8</v>
      </c>
      <c r="H11" s="3"/>
      <c r="I11" s="3" t="s">
        <v>284</v>
      </c>
      <c r="J11" s="4">
        <v>2006</v>
      </c>
      <c r="K11" s="5" t="s">
        <v>400</v>
      </c>
      <c r="L11" s="34"/>
    </row>
    <row r="12" spans="1:12" s="11" customFormat="1" ht="15" customHeight="1">
      <c r="A12" s="6"/>
      <c r="B12" s="96" t="s">
        <v>447</v>
      </c>
      <c r="C12" s="3" t="s">
        <v>448</v>
      </c>
      <c r="D12" s="3"/>
      <c r="E12" s="3"/>
      <c r="F12" s="3">
        <v>0</v>
      </c>
      <c r="G12" s="3">
        <v>7</v>
      </c>
      <c r="H12" s="3"/>
      <c r="I12" s="90" t="s">
        <v>442</v>
      </c>
      <c r="J12" s="4" t="s">
        <v>443</v>
      </c>
      <c r="K12" s="5" t="s">
        <v>416</v>
      </c>
      <c r="L12" s="34"/>
    </row>
    <row r="13" spans="1:12" s="11" customFormat="1" ht="15" customHeight="1">
      <c r="A13" s="6"/>
      <c r="B13" s="96" t="s">
        <v>449</v>
      </c>
      <c r="C13" s="3" t="s">
        <v>450</v>
      </c>
      <c r="D13" s="3"/>
      <c r="E13" s="3"/>
      <c r="F13" s="3">
        <v>0</v>
      </c>
      <c r="G13" s="3">
        <v>7</v>
      </c>
      <c r="H13" s="3"/>
      <c r="I13" s="90" t="s">
        <v>442</v>
      </c>
      <c r="J13" s="4" t="s">
        <v>443</v>
      </c>
      <c r="K13" s="5" t="s">
        <v>416</v>
      </c>
      <c r="L13" s="34"/>
    </row>
    <row r="14" spans="1:12" s="11" customFormat="1" ht="19.5" customHeight="1">
      <c r="A14" s="185" t="s">
        <v>454</v>
      </c>
      <c r="B14" s="185"/>
      <c r="C14" s="185"/>
      <c r="D14" s="185"/>
      <c r="E14" s="185"/>
      <c r="F14" s="3">
        <f>SUM(F10:F13)</f>
        <v>66</v>
      </c>
      <c r="G14" s="3">
        <f>SUM(G10:G13)</f>
        <v>33.8</v>
      </c>
      <c r="H14" s="3"/>
      <c r="I14" s="3"/>
      <c r="J14" s="4"/>
      <c r="K14" s="5"/>
      <c r="L14" s="34"/>
    </row>
    <row r="15" spans="1:12" s="11" customFormat="1" ht="30" customHeight="1">
      <c r="A15" s="180" t="s">
        <v>455</v>
      </c>
      <c r="B15" s="180"/>
      <c r="C15" s="180"/>
      <c r="D15" s="180"/>
      <c r="E15" s="180"/>
      <c r="F15" s="3"/>
      <c r="G15" s="3"/>
      <c r="H15" s="3"/>
      <c r="I15" s="3"/>
      <c r="J15" s="4"/>
      <c r="K15" s="5"/>
      <c r="L15" s="34"/>
    </row>
    <row r="16" spans="1:12" s="11" customFormat="1" ht="15" customHeight="1">
      <c r="A16" s="6">
        <v>1</v>
      </c>
      <c r="B16" s="13" t="s">
        <v>415</v>
      </c>
      <c r="C16" s="3"/>
      <c r="D16" s="3">
        <v>7114</v>
      </c>
      <c r="E16" s="3"/>
      <c r="F16" s="3">
        <v>189.5</v>
      </c>
      <c r="G16" s="3">
        <v>86</v>
      </c>
      <c r="H16" s="3">
        <v>1967</v>
      </c>
      <c r="I16" s="17" t="s">
        <v>288</v>
      </c>
      <c r="J16" s="4">
        <v>2018</v>
      </c>
      <c r="K16" s="7" t="s">
        <v>399</v>
      </c>
      <c r="L16" s="34"/>
    </row>
    <row r="17" spans="1:12" s="11" customFormat="1" ht="15" customHeight="1">
      <c r="A17" s="6">
        <v>7</v>
      </c>
      <c r="B17" s="13" t="s">
        <v>421</v>
      </c>
      <c r="C17" s="3"/>
      <c r="D17" s="3">
        <v>7114</v>
      </c>
      <c r="E17" s="3"/>
      <c r="F17" s="3">
        <v>135.9</v>
      </c>
      <c r="G17" s="3">
        <v>50.1</v>
      </c>
      <c r="H17" s="3">
        <v>1967</v>
      </c>
      <c r="I17" s="17" t="s">
        <v>288</v>
      </c>
      <c r="J17" s="4">
        <v>2018</v>
      </c>
      <c r="K17" s="7" t="s">
        <v>416</v>
      </c>
      <c r="L17" s="34"/>
    </row>
    <row r="18" spans="1:12" s="11" customFormat="1" ht="15" customHeight="1">
      <c r="A18" s="6">
        <v>10</v>
      </c>
      <c r="B18" s="13" t="s">
        <v>424</v>
      </c>
      <c r="C18" s="3"/>
      <c r="D18" s="3">
        <v>7114</v>
      </c>
      <c r="E18" s="3"/>
      <c r="F18" s="3">
        <v>130.1</v>
      </c>
      <c r="G18" s="3">
        <v>51.3</v>
      </c>
      <c r="H18" s="3">
        <v>1967</v>
      </c>
      <c r="I18" s="17" t="s">
        <v>288</v>
      </c>
      <c r="J18" s="4">
        <v>2018</v>
      </c>
      <c r="K18" s="7" t="s">
        <v>399</v>
      </c>
      <c r="L18" s="34"/>
    </row>
    <row r="19" spans="1:12" s="11" customFormat="1" ht="15" customHeight="1">
      <c r="A19" s="6">
        <v>11</v>
      </c>
      <c r="B19" s="13" t="s">
        <v>425</v>
      </c>
      <c r="C19" s="3"/>
      <c r="D19" s="3">
        <v>7114</v>
      </c>
      <c r="E19" s="3"/>
      <c r="F19" s="3">
        <v>140.1</v>
      </c>
      <c r="G19" s="3">
        <v>54.3</v>
      </c>
      <c r="H19" s="3">
        <v>1967</v>
      </c>
      <c r="I19" s="17" t="s">
        <v>288</v>
      </c>
      <c r="J19" s="4">
        <v>2020</v>
      </c>
      <c r="K19" s="7" t="s">
        <v>400</v>
      </c>
      <c r="L19" s="34"/>
    </row>
    <row r="20" spans="1:12" s="11" customFormat="1" ht="15" customHeight="1">
      <c r="A20" s="6">
        <v>12</v>
      </c>
      <c r="B20" s="13" t="s">
        <v>426</v>
      </c>
      <c r="C20" s="3"/>
      <c r="D20" s="3">
        <v>7114</v>
      </c>
      <c r="E20" s="3"/>
      <c r="F20" s="3">
        <v>130.1</v>
      </c>
      <c r="G20" s="3">
        <v>51.3</v>
      </c>
      <c r="H20" s="3">
        <v>1967</v>
      </c>
      <c r="I20" s="17" t="s">
        <v>288</v>
      </c>
      <c r="J20" s="4">
        <v>2018</v>
      </c>
      <c r="K20" s="7" t="s">
        <v>399</v>
      </c>
      <c r="L20" s="34"/>
    </row>
    <row r="21" spans="1:12" s="11" customFormat="1" ht="15" customHeight="1">
      <c r="A21" s="6">
        <v>16</v>
      </c>
      <c r="B21" s="13" t="s">
        <v>429</v>
      </c>
      <c r="C21" s="3"/>
      <c r="D21" s="3">
        <v>7114</v>
      </c>
      <c r="E21" s="3"/>
      <c r="F21" s="3">
        <v>134.5</v>
      </c>
      <c r="G21" s="3">
        <v>55.7</v>
      </c>
      <c r="H21" s="3">
        <v>1993</v>
      </c>
      <c r="I21" s="17" t="s">
        <v>288</v>
      </c>
      <c r="J21" s="4">
        <v>2020</v>
      </c>
      <c r="K21" s="7" t="s">
        <v>416</v>
      </c>
      <c r="L21" s="34"/>
    </row>
    <row r="22" spans="1:12" s="11" customFormat="1" ht="15" customHeight="1">
      <c r="A22" s="6">
        <v>31</v>
      </c>
      <c r="B22" s="13" t="s">
        <v>459</v>
      </c>
      <c r="C22" s="3"/>
      <c r="D22" s="3"/>
      <c r="E22" s="3"/>
      <c r="F22" s="3"/>
      <c r="G22" s="3"/>
      <c r="H22" s="3"/>
      <c r="I22" s="3"/>
      <c r="J22" s="4"/>
      <c r="K22" s="7"/>
      <c r="L22" s="34"/>
    </row>
    <row r="23" spans="1:12" s="11" customFormat="1" ht="15" customHeight="1">
      <c r="A23" s="6"/>
      <c r="B23" s="13" t="s">
        <v>460</v>
      </c>
      <c r="C23" s="3"/>
      <c r="D23" s="3">
        <v>28613</v>
      </c>
      <c r="E23" s="3"/>
      <c r="F23" s="3">
        <v>31.1</v>
      </c>
      <c r="G23" s="3">
        <v>31.1</v>
      </c>
      <c r="H23" s="3">
        <v>1969</v>
      </c>
      <c r="I23" s="3" t="s">
        <v>361</v>
      </c>
      <c r="J23" s="4">
        <v>2020</v>
      </c>
      <c r="K23" s="7" t="s">
        <v>400</v>
      </c>
      <c r="L23" s="34"/>
    </row>
    <row r="24" spans="1:12" s="11" customFormat="1" ht="15" customHeight="1">
      <c r="A24" s="6">
        <v>33</v>
      </c>
      <c r="B24" s="13" t="s">
        <v>444</v>
      </c>
      <c r="C24" s="3"/>
      <c r="D24" s="3">
        <v>7114</v>
      </c>
      <c r="E24" s="3"/>
      <c r="F24" s="3"/>
      <c r="G24" s="3"/>
      <c r="H24" s="3"/>
      <c r="I24" s="3"/>
      <c r="J24" s="4"/>
      <c r="K24" s="7"/>
      <c r="L24" s="34"/>
    </row>
    <row r="25" spans="1:12" s="11" customFormat="1" ht="15" customHeight="1">
      <c r="A25" s="6"/>
      <c r="B25" s="13" t="s">
        <v>461</v>
      </c>
      <c r="C25" s="3" t="s">
        <v>462</v>
      </c>
      <c r="D25" s="3"/>
      <c r="E25" s="3"/>
      <c r="F25" s="3">
        <v>33</v>
      </c>
      <c r="G25" s="3">
        <v>9.9</v>
      </c>
      <c r="H25" s="3"/>
      <c r="I25" s="3" t="s">
        <v>284</v>
      </c>
      <c r="J25" s="4">
        <v>2006</v>
      </c>
      <c r="K25" s="97"/>
      <c r="L25" s="34"/>
    </row>
    <row r="26" spans="1:12" s="11" customFormat="1" ht="15" customHeight="1">
      <c r="A26" s="6"/>
      <c r="B26" s="13" t="s">
        <v>463</v>
      </c>
      <c r="C26" s="3" t="s">
        <v>464</v>
      </c>
      <c r="D26" s="3"/>
      <c r="E26" s="3"/>
      <c r="F26" s="3">
        <v>0</v>
      </c>
      <c r="G26" s="3">
        <v>7.2</v>
      </c>
      <c r="H26" s="3"/>
      <c r="I26" s="3" t="s">
        <v>442</v>
      </c>
      <c r="J26" s="4" t="s">
        <v>443</v>
      </c>
      <c r="K26" s="7" t="s">
        <v>416</v>
      </c>
      <c r="L26" s="34"/>
    </row>
    <row r="27" spans="1:12" s="11" customFormat="1" ht="15" customHeight="1">
      <c r="A27" s="6"/>
      <c r="B27" s="13" t="s">
        <v>465</v>
      </c>
      <c r="C27" s="3" t="s">
        <v>453</v>
      </c>
      <c r="D27" s="3"/>
      <c r="E27" s="3"/>
      <c r="F27" s="3">
        <v>0</v>
      </c>
      <c r="G27" s="3">
        <v>8</v>
      </c>
      <c r="H27" s="3"/>
      <c r="I27" s="98" t="s">
        <v>285</v>
      </c>
      <c r="J27" s="4" t="s">
        <v>443</v>
      </c>
      <c r="K27" s="7" t="s">
        <v>416</v>
      </c>
      <c r="L27" s="34"/>
    </row>
    <row r="28" spans="1:12" s="11" customFormat="1" ht="19.5" customHeight="1">
      <c r="A28" s="185" t="s">
        <v>454</v>
      </c>
      <c r="B28" s="185"/>
      <c r="C28" s="185"/>
      <c r="D28" s="185"/>
      <c r="E28" s="185"/>
      <c r="F28" s="3"/>
      <c r="G28" s="3"/>
      <c r="H28" s="3"/>
      <c r="I28" s="3"/>
      <c r="J28" s="4"/>
      <c r="K28" s="5"/>
      <c r="L28" s="34"/>
    </row>
    <row r="29" spans="1:12" s="11" customFormat="1" ht="30" customHeight="1">
      <c r="A29" s="181" t="s">
        <v>466</v>
      </c>
      <c r="B29" s="182"/>
      <c r="C29" s="182"/>
      <c r="D29" s="182"/>
      <c r="E29" s="182"/>
      <c r="F29" s="182"/>
      <c r="G29" s="182"/>
      <c r="H29" s="182"/>
      <c r="I29" s="183"/>
      <c r="J29" s="4"/>
      <c r="K29" s="5"/>
      <c r="L29" s="34"/>
    </row>
    <row r="30" spans="1:12" s="11" customFormat="1" ht="15" customHeight="1">
      <c r="A30" s="6">
        <v>24</v>
      </c>
      <c r="B30" s="13" t="s">
        <v>469</v>
      </c>
      <c r="C30" s="3"/>
      <c r="D30" s="3" t="s">
        <v>467</v>
      </c>
      <c r="E30" s="3"/>
      <c r="F30" s="3">
        <v>135.9</v>
      </c>
      <c r="G30" s="3">
        <v>57.1</v>
      </c>
      <c r="H30" s="3">
        <v>1974</v>
      </c>
      <c r="I30" s="17" t="s">
        <v>288</v>
      </c>
      <c r="J30" s="4">
        <v>2020</v>
      </c>
      <c r="K30" s="7" t="s">
        <v>400</v>
      </c>
      <c r="L30" s="34"/>
    </row>
    <row r="31" spans="1:12" s="11" customFormat="1" ht="15" customHeight="1">
      <c r="A31" s="6">
        <v>27</v>
      </c>
      <c r="B31" s="13" t="s">
        <v>470</v>
      </c>
      <c r="C31" s="3"/>
      <c r="D31" s="3" t="s">
        <v>467</v>
      </c>
      <c r="E31" s="3"/>
      <c r="F31" s="3">
        <v>204.5</v>
      </c>
      <c r="G31" s="3">
        <v>89.2</v>
      </c>
      <c r="H31" s="3">
        <v>1974</v>
      </c>
      <c r="I31" s="17" t="s">
        <v>288</v>
      </c>
      <c r="J31" s="4">
        <v>2020</v>
      </c>
      <c r="K31" s="7" t="s">
        <v>400</v>
      </c>
      <c r="L31" s="34"/>
    </row>
    <row r="32" spans="1:12" s="11" customFormat="1" ht="15" customHeight="1">
      <c r="A32" s="6">
        <v>33</v>
      </c>
      <c r="B32" s="13" t="s">
        <v>471</v>
      </c>
      <c r="C32" s="3"/>
      <c r="D32" s="3" t="s">
        <v>467</v>
      </c>
      <c r="E32" s="3"/>
      <c r="F32" s="3">
        <v>135.9</v>
      </c>
      <c r="G32" s="3">
        <v>57.1</v>
      </c>
      <c r="H32" s="3">
        <v>1974</v>
      </c>
      <c r="I32" s="17" t="s">
        <v>288</v>
      </c>
      <c r="J32" s="4">
        <v>2020</v>
      </c>
      <c r="K32" s="7" t="s">
        <v>400</v>
      </c>
      <c r="L32" s="34"/>
    </row>
    <row r="33" spans="1:245" ht="19.5" customHeight="1">
      <c r="A33" s="185" t="s">
        <v>636</v>
      </c>
      <c r="B33" s="185"/>
      <c r="C33" s="185"/>
      <c r="D33" s="185"/>
      <c r="E33" s="185"/>
      <c r="F33" s="3"/>
      <c r="G33" s="3"/>
      <c r="H33" s="3"/>
      <c r="I33" s="3"/>
      <c r="J33" s="4"/>
      <c r="K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245" ht="38.25" customHeight="1">
      <c r="A34" s="181" t="s">
        <v>473</v>
      </c>
      <c r="B34" s="182"/>
      <c r="C34" s="182"/>
      <c r="D34" s="182"/>
      <c r="E34" s="182"/>
      <c r="F34" s="134"/>
      <c r="G34" s="3"/>
      <c r="H34" s="3"/>
      <c r="I34" s="3"/>
      <c r="J34" s="4"/>
      <c r="K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ht="15" customHeight="1">
      <c r="A35" s="6">
        <v>1</v>
      </c>
      <c r="B35" s="13" t="s">
        <v>415</v>
      </c>
      <c r="C35" s="3"/>
      <c r="D35" s="3" t="s">
        <v>474</v>
      </c>
      <c r="E35" s="3"/>
      <c r="F35" s="3">
        <v>100.5</v>
      </c>
      <c r="G35" s="3">
        <v>39.3</v>
      </c>
      <c r="H35" s="3">
        <v>2005</v>
      </c>
      <c r="I35" s="17" t="s">
        <v>288</v>
      </c>
      <c r="J35" s="4">
        <v>2020</v>
      </c>
      <c r="K35" s="7" t="s">
        <v>400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ht="15" customHeight="1">
      <c r="A36" s="6">
        <v>2</v>
      </c>
      <c r="B36" s="13" t="s">
        <v>456</v>
      </c>
      <c r="C36" s="3"/>
      <c r="D36" s="3" t="s">
        <v>474</v>
      </c>
      <c r="E36" s="3"/>
      <c r="F36" s="3">
        <v>97.7</v>
      </c>
      <c r="G36" s="3">
        <v>36.1</v>
      </c>
      <c r="H36" s="3">
        <v>2005</v>
      </c>
      <c r="I36" s="17" t="s">
        <v>288</v>
      </c>
      <c r="J36" s="4">
        <v>2020</v>
      </c>
      <c r="K36" s="7" t="s">
        <v>400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</row>
    <row r="37" spans="1:245" ht="15" customHeight="1">
      <c r="A37" s="6">
        <v>3</v>
      </c>
      <c r="B37" s="13" t="s">
        <v>417</v>
      </c>
      <c r="C37" s="3"/>
      <c r="D37" s="3" t="s">
        <v>474</v>
      </c>
      <c r="E37" s="3"/>
      <c r="F37" s="3">
        <v>100.5</v>
      </c>
      <c r="G37" s="3">
        <v>39.3</v>
      </c>
      <c r="H37" s="3">
        <v>2005</v>
      </c>
      <c r="I37" s="17" t="s">
        <v>288</v>
      </c>
      <c r="J37" s="4">
        <v>2020</v>
      </c>
      <c r="K37" s="7" t="s">
        <v>400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</row>
    <row r="38" spans="1:245" ht="15" customHeight="1">
      <c r="A38" s="6">
        <v>4</v>
      </c>
      <c r="B38" s="13" t="s">
        <v>418</v>
      </c>
      <c r="C38" s="3"/>
      <c r="D38" s="3" t="s">
        <v>474</v>
      </c>
      <c r="E38" s="3"/>
      <c r="F38" s="3">
        <v>100.5</v>
      </c>
      <c r="G38" s="3">
        <v>39.3</v>
      </c>
      <c r="H38" s="3">
        <v>2005</v>
      </c>
      <c r="I38" s="17" t="s">
        <v>288</v>
      </c>
      <c r="J38" s="4">
        <v>2020</v>
      </c>
      <c r="K38" s="7" t="s">
        <v>400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</row>
    <row r="39" spans="1:245" ht="15" customHeight="1">
      <c r="A39" s="6">
        <v>7</v>
      </c>
      <c r="B39" s="13" t="s">
        <v>421</v>
      </c>
      <c r="C39" s="3"/>
      <c r="D39" s="3" t="s">
        <v>474</v>
      </c>
      <c r="E39" s="3"/>
      <c r="F39" s="3">
        <v>100.5</v>
      </c>
      <c r="G39" s="3">
        <v>39.3</v>
      </c>
      <c r="H39" s="3">
        <v>2005</v>
      </c>
      <c r="I39" s="17" t="s">
        <v>288</v>
      </c>
      <c r="J39" s="4">
        <v>2020</v>
      </c>
      <c r="K39" s="7" t="s">
        <v>400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</row>
    <row r="40" spans="1:245" ht="15" customHeight="1">
      <c r="A40" s="6">
        <v>18</v>
      </c>
      <c r="B40" s="13" t="s">
        <v>431</v>
      </c>
      <c r="C40" s="3"/>
      <c r="D40" s="3" t="s">
        <v>474</v>
      </c>
      <c r="E40" s="3"/>
      <c r="F40" s="3">
        <v>100.5</v>
      </c>
      <c r="G40" s="3">
        <v>39.3</v>
      </c>
      <c r="H40" s="3">
        <v>2005</v>
      </c>
      <c r="I40" s="17" t="s">
        <v>288</v>
      </c>
      <c r="J40" s="4">
        <v>2020</v>
      </c>
      <c r="K40" s="7" t="s">
        <v>416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</row>
    <row r="41" spans="1:245" ht="15" customHeight="1">
      <c r="A41" s="6">
        <v>19</v>
      </c>
      <c r="B41" s="13" t="s">
        <v>432</v>
      </c>
      <c r="C41" s="3"/>
      <c r="D41" s="3" t="s">
        <v>474</v>
      </c>
      <c r="E41" s="3"/>
      <c r="F41" s="3">
        <v>100.5</v>
      </c>
      <c r="G41" s="3">
        <v>39.3</v>
      </c>
      <c r="H41" s="3">
        <v>2005</v>
      </c>
      <c r="I41" s="17" t="s">
        <v>288</v>
      </c>
      <c r="J41" s="4">
        <v>2020</v>
      </c>
      <c r="K41" s="7" t="s">
        <v>416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</row>
    <row r="42" spans="1:245" ht="15" customHeight="1">
      <c r="A42" s="6">
        <v>20</v>
      </c>
      <c r="B42" s="13" t="s">
        <v>433</v>
      </c>
      <c r="C42" s="3"/>
      <c r="D42" s="3" t="s">
        <v>474</v>
      </c>
      <c r="E42" s="3"/>
      <c r="F42" s="3">
        <v>100.5</v>
      </c>
      <c r="G42" s="3">
        <v>39.3</v>
      </c>
      <c r="H42" s="3">
        <v>2005</v>
      </c>
      <c r="I42" s="17" t="s">
        <v>288</v>
      </c>
      <c r="J42" s="4">
        <v>2017</v>
      </c>
      <c r="K42" s="7" t="s">
        <v>416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</row>
    <row r="43" spans="1:245" ht="15" customHeight="1">
      <c r="A43" s="6">
        <v>25</v>
      </c>
      <c r="B43" s="13" t="s">
        <v>451</v>
      </c>
      <c r="C43" s="3"/>
      <c r="D43" s="3">
        <v>17243</v>
      </c>
      <c r="E43" s="3"/>
      <c r="F43" s="3"/>
      <c r="G43" s="3"/>
      <c r="H43" s="9"/>
      <c r="I43" s="10"/>
      <c r="J43" s="4"/>
      <c r="K43" s="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</row>
    <row r="44" spans="1:245" ht="15" customHeight="1">
      <c r="A44" s="6"/>
      <c r="B44" s="13" t="s">
        <v>461</v>
      </c>
      <c r="C44" s="3" t="s">
        <v>477</v>
      </c>
      <c r="D44" s="3"/>
      <c r="E44" s="3"/>
      <c r="F44" s="3">
        <v>0</v>
      </c>
      <c r="G44" s="3">
        <v>13.3</v>
      </c>
      <c r="H44" s="3"/>
      <c r="I44" s="3" t="s">
        <v>284</v>
      </c>
      <c r="J44" s="4" t="s">
        <v>443</v>
      </c>
      <c r="K44" s="5" t="s">
        <v>400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</row>
    <row r="45" spans="1:245" ht="15" customHeight="1">
      <c r="A45" s="6"/>
      <c r="B45" s="13" t="s">
        <v>452</v>
      </c>
      <c r="C45" s="3" t="s">
        <v>450</v>
      </c>
      <c r="D45" s="3"/>
      <c r="E45" s="3"/>
      <c r="F45" s="3">
        <v>60</v>
      </c>
      <c r="G45" s="3">
        <v>60</v>
      </c>
      <c r="H45" s="3"/>
      <c r="I45" s="3" t="s">
        <v>354</v>
      </c>
      <c r="J45" s="4">
        <v>2015</v>
      </c>
      <c r="K45" s="5" t="s">
        <v>399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</row>
    <row r="46" spans="1:12" s="11" customFormat="1" ht="19.5" customHeight="1">
      <c r="A46" s="185" t="s">
        <v>478</v>
      </c>
      <c r="B46" s="185"/>
      <c r="C46" s="185"/>
      <c r="D46" s="185"/>
      <c r="E46" s="185"/>
      <c r="F46" s="3"/>
      <c r="G46" s="3"/>
      <c r="H46" s="3"/>
      <c r="I46" s="3"/>
      <c r="J46" s="4"/>
      <c r="K46" s="5"/>
      <c r="L46" s="34"/>
    </row>
    <row r="47" spans="1:12" s="11" customFormat="1" ht="30" customHeight="1">
      <c r="A47" s="180" t="s">
        <v>479</v>
      </c>
      <c r="B47" s="180"/>
      <c r="C47" s="180"/>
      <c r="D47" s="180"/>
      <c r="E47" s="180"/>
      <c r="F47" s="3"/>
      <c r="G47" s="3"/>
      <c r="H47" s="3"/>
      <c r="I47" s="3"/>
      <c r="J47" s="4"/>
      <c r="K47" s="5"/>
      <c r="L47" s="34"/>
    </row>
    <row r="48" spans="1:12" s="11" customFormat="1" ht="15" customHeight="1">
      <c r="A48" s="6">
        <v>5</v>
      </c>
      <c r="B48" s="8" t="s">
        <v>481</v>
      </c>
      <c r="C48" s="3"/>
      <c r="D48" s="3" t="s">
        <v>480</v>
      </c>
      <c r="E48" s="3"/>
      <c r="F48" s="3">
        <v>134.5</v>
      </c>
      <c r="G48" s="3">
        <v>55.7</v>
      </c>
      <c r="H48" s="3">
        <v>2007</v>
      </c>
      <c r="I48" s="17" t="s">
        <v>288</v>
      </c>
      <c r="J48" s="4">
        <v>2019</v>
      </c>
      <c r="K48" s="7" t="s">
        <v>416</v>
      </c>
      <c r="L48" s="34"/>
    </row>
    <row r="49" spans="1:12" s="11" customFormat="1" ht="15" customHeight="1">
      <c r="A49" s="6">
        <v>21</v>
      </c>
      <c r="B49" s="13" t="s">
        <v>482</v>
      </c>
      <c r="C49" s="3"/>
      <c r="D49" s="3">
        <v>3473</v>
      </c>
      <c r="E49" s="3"/>
      <c r="F49" s="3"/>
      <c r="G49" s="3"/>
      <c r="H49" s="3"/>
      <c r="I49" s="3"/>
      <c r="J49" s="4"/>
      <c r="K49" s="7"/>
      <c r="L49" s="34"/>
    </row>
    <row r="50" spans="1:12" s="11" customFormat="1" ht="15" customHeight="1">
      <c r="A50" s="6"/>
      <c r="B50" s="8" t="s">
        <v>461</v>
      </c>
      <c r="C50" s="3" t="s">
        <v>440</v>
      </c>
      <c r="D50" s="3"/>
      <c r="E50" s="3"/>
      <c r="F50" s="3">
        <v>22</v>
      </c>
      <c r="G50" s="3">
        <v>6.6</v>
      </c>
      <c r="H50" s="3">
        <v>1965</v>
      </c>
      <c r="I50" s="3" t="s">
        <v>360</v>
      </c>
      <c r="J50" s="4">
        <v>2007</v>
      </c>
      <c r="K50" s="7" t="s">
        <v>399</v>
      </c>
      <c r="L50" s="34"/>
    </row>
    <row r="51" spans="1:12" s="11" customFormat="1" ht="15" customHeight="1">
      <c r="A51" s="6"/>
      <c r="B51" s="13" t="s">
        <v>483</v>
      </c>
      <c r="C51" s="3" t="s">
        <v>484</v>
      </c>
      <c r="D51" s="3"/>
      <c r="E51" s="3"/>
      <c r="F51" s="3">
        <v>0</v>
      </c>
      <c r="G51" s="3">
        <v>2.7</v>
      </c>
      <c r="H51" s="3">
        <v>1965</v>
      </c>
      <c r="I51" s="3" t="s">
        <v>442</v>
      </c>
      <c r="J51" s="4" t="s">
        <v>443</v>
      </c>
      <c r="K51" s="7" t="s">
        <v>400</v>
      </c>
      <c r="L51" s="34"/>
    </row>
    <row r="52" spans="1:12" s="11" customFormat="1" ht="15" customHeight="1">
      <c r="A52" s="6"/>
      <c r="B52" s="13" t="s">
        <v>485</v>
      </c>
      <c r="C52" s="3" t="s">
        <v>441</v>
      </c>
      <c r="D52" s="3"/>
      <c r="E52" s="3"/>
      <c r="F52" s="3">
        <v>0</v>
      </c>
      <c r="G52" s="3">
        <v>2.7</v>
      </c>
      <c r="H52" s="3">
        <v>1965</v>
      </c>
      <c r="I52" s="3" t="s">
        <v>442</v>
      </c>
      <c r="J52" s="4" t="s">
        <v>443</v>
      </c>
      <c r="K52" s="7" t="s">
        <v>400</v>
      </c>
      <c r="L52" s="34"/>
    </row>
    <row r="53" spans="1:12" s="11" customFormat="1" ht="15" customHeight="1">
      <c r="A53" s="6"/>
      <c r="B53" s="13" t="s">
        <v>486</v>
      </c>
      <c r="C53" s="3" t="s">
        <v>453</v>
      </c>
      <c r="D53" s="3"/>
      <c r="E53" s="3"/>
      <c r="F53" s="3">
        <v>0</v>
      </c>
      <c r="G53" s="3">
        <v>2.7</v>
      </c>
      <c r="H53" s="3">
        <v>1965</v>
      </c>
      <c r="I53" s="3" t="s">
        <v>442</v>
      </c>
      <c r="J53" s="4" t="s">
        <v>443</v>
      </c>
      <c r="K53" s="7" t="s">
        <v>400</v>
      </c>
      <c r="L53" s="34"/>
    </row>
    <row r="54" spans="1:12" s="11" customFormat="1" ht="15" customHeight="1">
      <c r="A54" s="6">
        <v>22</v>
      </c>
      <c r="B54" s="13" t="s">
        <v>487</v>
      </c>
      <c r="C54" s="3"/>
      <c r="D54" s="3"/>
      <c r="E54" s="3"/>
      <c r="F54" s="3"/>
      <c r="G54" s="3"/>
      <c r="H54" s="3"/>
      <c r="I54" s="3"/>
      <c r="J54" s="4"/>
      <c r="K54" s="7"/>
      <c r="L54" s="34"/>
    </row>
    <row r="55" spans="1:12" s="11" customFormat="1" ht="15" customHeight="1">
      <c r="A55" s="6"/>
      <c r="B55" s="8" t="s">
        <v>488</v>
      </c>
      <c r="C55" s="3"/>
      <c r="D55" s="3" t="s">
        <v>480</v>
      </c>
      <c r="E55" s="3"/>
      <c r="F55" s="3">
        <v>9</v>
      </c>
      <c r="G55" s="3">
        <v>2</v>
      </c>
      <c r="H55" s="3">
        <v>1965</v>
      </c>
      <c r="I55" s="3" t="s">
        <v>355</v>
      </c>
      <c r="J55" s="4">
        <v>2013</v>
      </c>
      <c r="K55" s="7" t="s">
        <v>400</v>
      </c>
      <c r="L55" s="34"/>
    </row>
    <row r="56" spans="1:12" s="11" customFormat="1" ht="15" customHeight="1">
      <c r="A56" s="6">
        <v>23</v>
      </c>
      <c r="B56" s="13" t="s">
        <v>472</v>
      </c>
      <c r="C56" s="3"/>
      <c r="D56" s="3"/>
      <c r="E56" s="3"/>
      <c r="F56" s="3"/>
      <c r="G56" s="3"/>
      <c r="H56" s="3"/>
      <c r="I56" s="3"/>
      <c r="J56" s="4"/>
      <c r="K56" s="7"/>
      <c r="L56" s="34"/>
    </row>
    <row r="57" spans="1:12" s="11" customFormat="1" ht="15" customHeight="1">
      <c r="A57" s="6"/>
      <c r="B57" s="8" t="s">
        <v>489</v>
      </c>
      <c r="C57" s="3"/>
      <c r="D57" s="3" t="s">
        <v>480</v>
      </c>
      <c r="E57" s="3"/>
      <c r="F57" s="3">
        <v>5.6</v>
      </c>
      <c r="G57" s="3">
        <v>0</v>
      </c>
      <c r="H57" s="3">
        <v>1965</v>
      </c>
      <c r="I57" s="3" t="s">
        <v>286</v>
      </c>
      <c r="J57" s="4">
        <v>2013</v>
      </c>
      <c r="K57" s="7" t="s">
        <v>416</v>
      </c>
      <c r="L57" s="34"/>
    </row>
    <row r="58" spans="1:12" s="11" customFormat="1" ht="15" customHeight="1">
      <c r="A58" s="6">
        <v>24</v>
      </c>
      <c r="B58" s="13" t="s">
        <v>451</v>
      </c>
      <c r="C58" s="3"/>
      <c r="D58" s="3">
        <v>3473</v>
      </c>
      <c r="E58" s="3"/>
      <c r="F58" s="3"/>
      <c r="G58" s="3"/>
      <c r="H58" s="3"/>
      <c r="I58" s="3"/>
      <c r="J58" s="4"/>
      <c r="K58" s="7"/>
      <c r="L58" s="34"/>
    </row>
    <row r="59" spans="1:12" s="11" customFormat="1" ht="15" customHeight="1">
      <c r="A59" s="6"/>
      <c r="B59" s="8" t="s">
        <v>445</v>
      </c>
      <c r="C59" s="3" t="s">
        <v>476</v>
      </c>
      <c r="D59" s="3"/>
      <c r="E59" s="3"/>
      <c r="F59" s="3">
        <v>0</v>
      </c>
      <c r="G59" s="3">
        <v>13.3</v>
      </c>
      <c r="H59" s="3"/>
      <c r="I59" s="3" t="s">
        <v>284</v>
      </c>
      <c r="J59" s="4" t="s">
        <v>443</v>
      </c>
      <c r="K59" s="5" t="s">
        <v>400</v>
      </c>
      <c r="L59" s="34"/>
    </row>
    <row r="60" spans="1:12" s="11" customFormat="1" ht="15" customHeight="1">
      <c r="A60" s="6"/>
      <c r="B60" s="13" t="s">
        <v>452</v>
      </c>
      <c r="C60" s="3" t="s">
        <v>457</v>
      </c>
      <c r="D60" s="3"/>
      <c r="E60" s="3"/>
      <c r="F60" s="3">
        <v>60</v>
      </c>
      <c r="G60" s="3">
        <v>60</v>
      </c>
      <c r="H60" s="3"/>
      <c r="I60" s="3" t="s">
        <v>354</v>
      </c>
      <c r="J60" s="4">
        <v>2015</v>
      </c>
      <c r="K60" s="5" t="s">
        <v>399</v>
      </c>
      <c r="L60" s="34"/>
    </row>
    <row r="61" spans="1:245" ht="19.5" customHeight="1">
      <c r="A61" s="196" t="s">
        <v>635</v>
      </c>
      <c r="B61" s="197"/>
      <c r="C61" s="197"/>
      <c r="D61" s="197"/>
      <c r="E61" s="198"/>
      <c r="F61" s="3"/>
      <c r="G61" s="3"/>
      <c r="H61" s="3"/>
      <c r="I61" s="3"/>
      <c r="J61" s="4"/>
      <c r="K61" s="5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</row>
    <row r="62" spans="1:245" ht="30" customHeight="1">
      <c r="A62" s="181" t="s">
        <v>414</v>
      </c>
      <c r="B62" s="182"/>
      <c r="C62" s="182"/>
      <c r="D62" s="182"/>
      <c r="E62" s="183"/>
      <c r="F62" s="3"/>
      <c r="G62" s="3"/>
      <c r="H62" s="3"/>
      <c r="I62" s="3"/>
      <c r="J62" s="4"/>
      <c r="K62" s="5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</row>
    <row r="63" spans="1:245" ht="15" customHeight="1">
      <c r="A63" s="6">
        <v>2</v>
      </c>
      <c r="B63" s="8" t="s">
        <v>456</v>
      </c>
      <c r="C63" s="3"/>
      <c r="D63" s="3" t="s">
        <v>490</v>
      </c>
      <c r="E63" s="3"/>
      <c r="F63" s="3">
        <v>121.3</v>
      </c>
      <c r="G63" s="3">
        <v>49.5</v>
      </c>
      <c r="H63" s="3">
        <v>1984</v>
      </c>
      <c r="I63" s="17" t="s">
        <v>288</v>
      </c>
      <c r="J63" s="4">
        <v>2018</v>
      </c>
      <c r="K63" s="7" t="s">
        <v>416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</row>
    <row r="64" spans="1:245" ht="15" customHeight="1">
      <c r="A64" s="6">
        <v>10</v>
      </c>
      <c r="B64" s="8" t="s">
        <v>424</v>
      </c>
      <c r="C64" s="3"/>
      <c r="D64" s="3" t="s">
        <v>490</v>
      </c>
      <c r="E64" s="3"/>
      <c r="F64" s="3">
        <v>121</v>
      </c>
      <c r="G64" s="3">
        <v>49.2</v>
      </c>
      <c r="H64" s="3">
        <v>1984</v>
      </c>
      <c r="I64" s="17" t="s">
        <v>288</v>
      </c>
      <c r="J64" s="4">
        <v>2019</v>
      </c>
      <c r="K64" s="7" t="s">
        <v>416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</row>
    <row r="65" spans="1:245" ht="15" customHeight="1">
      <c r="A65" s="6">
        <v>18</v>
      </c>
      <c r="B65" s="8" t="s">
        <v>431</v>
      </c>
      <c r="C65" s="3"/>
      <c r="D65" s="3" t="s">
        <v>490</v>
      </c>
      <c r="E65" s="3"/>
      <c r="F65" s="3">
        <v>121</v>
      </c>
      <c r="G65" s="3">
        <v>49.2</v>
      </c>
      <c r="H65" s="3">
        <v>1984</v>
      </c>
      <c r="I65" s="17" t="s">
        <v>288</v>
      </c>
      <c r="J65" s="4">
        <v>2020</v>
      </c>
      <c r="K65" s="7" t="s">
        <v>400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</row>
    <row r="66" spans="1:245" ht="15" customHeight="1">
      <c r="A66" s="6">
        <v>38</v>
      </c>
      <c r="B66" s="8" t="s">
        <v>492</v>
      </c>
      <c r="C66" s="3" t="s">
        <v>453</v>
      </c>
      <c r="D66" s="3">
        <v>54130</v>
      </c>
      <c r="E66" s="3"/>
      <c r="F66" s="3">
        <v>0</v>
      </c>
      <c r="G66" s="3">
        <v>13.9</v>
      </c>
      <c r="H66" s="3">
        <v>1967</v>
      </c>
      <c r="I66" s="3" t="s">
        <v>380</v>
      </c>
      <c r="J66" s="4" t="s">
        <v>443</v>
      </c>
      <c r="K66" s="7" t="s">
        <v>400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</row>
    <row r="67" spans="1:245" ht="15" customHeight="1">
      <c r="A67" s="6">
        <v>39</v>
      </c>
      <c r="B67" s="8" t="s">
        <v>494</v>
      </c>
      <c r="C67" s="3" t="s">
        <v>453</v>
      </c>
      <c r="D67" s="3">
        <v>54130</v>
      </c>
      <c r="E67" s="3"/>
      <c r="F67" s="3">
        <v>9</v>
      </c>
      <c r="G67" s="3">
        <v>2</v>
      </c>
      <c r="H67" s="3"/>
      <c r="I67" s="3" t="s">
        <v>215</v>
      </c>
      <c r="J67" s="4">
        <v>2013</v>
      </c>
      <c r="K67" s="7" t="s">
        <v>400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</row>
    <row r="68" spans="1:12" s="11" customFormat="1" ht="19.5" customHeight="1">
      <c r="A68" s="185" t="s">
        <v>495</v>
      </c>
      <c r="B68" s="185"/>
      <c r="C68" s="185"/>
      <c r="D68" s="185"/>
      <c r="E68" s="185"/>
      <c r="F68" s="3"/>
      <c r="G68" s="3"/>
      <c r="H68" s="3"/>
      <c r="I68" s="3"/>
      <c r="J68" s="4"/>
      <c r="K68" s="5"/>
      <c r="L68" s="34"/>
    </row>
    <row r="69" spans="1:12" s="11" customFormat="1" ht="30" customHeight="1">
      <c r="A69" s="180" t="s">
        <v>414</v>
      </c>
      <c r="B69" s="180"/>
      <c r="C69" s="180"/>
      <c r="D69" s="180"/>
      <c r="E69" s="180"/>
      <c r="F69" s="3"/>
      <c r="G69" s="3"/>
      <c r="H69" s="3"/>
      <c r="I69" s="3"/>
      <c r="J69" s="4"/>
      <c r="K69" s="5"/>
      <c r="L69" s="34"/>
    </row>
    <row r="70" spans="1:12" s="11" customFormat="1" ht="15" customHeight="1">
      <c r="A70" s="6">
        <v>1</v>
      </c>
      <c r="B70" s="8" t="s">
        <v>415</v>
      </c>
      <c r="C70" s="3"/>
      <c r="D70" s="3" t="s">
        <v>496</v>
      </c>
      <c r="E70" s="3"/>
      <c r="F70" s="3">
        <v>86.9</v>
      </c>
      <c r="G70" s="3">
        <v>40.1</v>
      </c>
      <c r="H70" s="3">
        <v>1967</v>
      </c>
      <c r="I70" s="17" t="s">
        <v>288</v>
      </c>
      <c r="J70" s="4">
        <v>2019</v>
      </c>
      <c r="K70" s="7" t="s">
        <v>400</v>
      </c>
      <c r="L70" s="34"/>
    </row>
    <row r="71" spans="1:12" s="11" customFormat="1" ht="15" customHeight="1">
      <c r="A71" s="6">
        <v>17</v>
      </c>
      <c r="B71" s="8" t="s">
        <v>428</v>
      </c>
      <c r="C71" s="3"/>
      <c r="D71" s="3" t="s">
        <v>496</v>
      </c>
      <c r="E71" s="3"/>
      <c r="F71" s="3">
        <v>86.9</v>
      </c>
      <c r="G71" s="3">
        <v>40.1</v>
      </c>
      <c r="H71" s="3">
        <v>1967</v>
      </c>
      <c r="I71" s="17" t="s">
        <v>288</v>
      </c>
      <c r="J71" s="4">
        <v>2018</v>
      </c>
      <c r="K71" s="7" t="s">
        <v>416</v>
      </c>
      <c r="L71" s="34"/>
    </row>
    <row r="72" spans="1:12" s="11" customFormat="1" ht="15" customHeight="1">
      <c r="A72" s="6">
        <v>25</v>
      </c>
      <c r="B72" s="8" t="s">
        <v>439</v>
      </c>
      <c r="C72" s="3"/>
      <c r="D72" s="3"/>
      <c r="E72" s="3"/>
      <c r="F72" s="3"/>
      <c r="G72" s="3"/>
      <c r="H72" s="3"/>
      <c r="I72" s="3"/>
      <c r="J72" s="4"/>
      <c r="K72" s="7"/>
      <c r="L72" s="34"/>
    </row>
    <row r="73" spans="1:12" s="11" customFormat="1" ht="15" customHeight="1">
      <c r="A73" s="6"/>
      <c r="B73" s="8" t="s">
        <v>497</v>
      </c>
      <c r="C73" s="3"/>
      <c r="D73" s="3"/>
      <c r="E73" s="3"/>
      <c r="F73" s="3"/>
      <c r="G73" s="3"/>
      <c r="H73" s="3"/>
      <c r="I73" s="3"/>
      <c r="J73" s="4"/>
      <c r="K73" s="7"/>
      <c r="L73" s="34"/>
    </row>
    <row r="74" spans="1:12" s="11" customFormat="1" ht="15" customHeight="1">
      <c r="A74" s="6"/>
      <c r="B74" s="8" t="s">
        <v>498</v>
      </c>
      <c r="C74" s="3"/>
      <c r="D74" s="3" t="s">
        <v>496</v>
      </c>
      <c r="E74" s="3"/>
      <c r="F74" s="3">
        <v>96</v>
      </c>
      <c r="G74" s="3">
        <v>0</v>
      </c>
      <c r="H74" s="3">
        <v>1967</v>
      </c>
      <c r="I74" s="3" t="s">
        <v>607</v>
      </c>
      <c r="J74" s="4">
        <v>2020</v>
      </c>
      <c r="K74" s="100" t="s">
        <v>416</v>
      </c>
      <c r="L74" s="34"/>
    </row>
    <row r="75" spans="1:12" s="11" customFormat="1" ht="15" customHeight="1">
      <c r="A75" s="6">
        <v>26</v>
      </c>
      <c r="B75" s="8" t="s">
        <v>475</v>
      </c>
      <c r="C75" s="3"/>
      <c r="D75" s="3"/>
      <c r="E75" s="3"/>
      <c r="F75" s="3"/>
      <c r="G75" s="3"/>
      <c r="H75" s="3"/>
      <c r="I75" s="3"/>
      <c r="J75" s="4"/>
      <c r="K75" s="7"/>
      <c r="L75" s="34"/>
    </row>
    <row r="76" spans="1:12" s="11" customFormat="1" ht="15" customHeight="1">
      <c r="A76" s="6"/>
      <c r="B76" s="8" t="s">
        <v>445</v>
      </c>
      <c r="C76" s="3" t="s">
        <v>440</v>
      </c>
      <c r="D76" s="3" t="s">
        <v>496</v>
      </c>
      <c r="E76" s="3"/>
      <c r="F76" s="3">
        <v>26.4</v>
      </c>
      <c r="G76" s="3">
        <v>7.9</v>
      </c>
      <c r="H76" s="3">
        <v>1967</v>
      </c>
      <c r="I76" s="3" t="s">
        <v>284</v>
      </c>
      <c r="J76" s="4">
        <v>2014</v>
      </c>
      <c r="K76" s="7" t="s">
        <v>400</v>
      </c>
      <c r="L76" s="34"/>
    </row>
    <row r="77" spans="1:12" s="11" customFormat="1" ht="15" customHeight="1">
      <c r="A77" s="6"/>
      <c r="B77" s="13" t="s">
        <v>491</v>
      </c>
      <c r="C77" s="3" t="s">
        <v>499</v>
      </c>
      <c r="D77" s="3" t="s">
        <v>496</v>
      </c>
      <c r="E77" s="3"/>
      <c r="F77" s="3">
        <v>0</v>
      </c>
      <c r="G77" s="3">
        <v>6.2</v>
      </c>
      <c r="H77" s="3">
        <v>1967</v>
      </c>
      <c r="I77" s="3" t="s">
        <v>442</v>
      </c>
      <c r="J77" s="4" t="s">
        <v>443</v>
      </c>
      <c r="K77" s="7" t="s">
        <v>400</v>
      </c>
      <c r="L77" s="34"/>
    </row>
    <row r="78" spans="1:12" s="11" customFormat="1" ht="15" customHeight="1">
      <c r="A78" s="6">
        <v>32</v>
      </c>
      <c r="B78" s="8" t="s">
        <v>451</v>
      </c>
      <c r="C78" s="3"/>
      <c r="D78" s="3">
        <v>8434</v>
      </c>
      <c r="E78" s="3"/>
      <c r="F78" s="3"/>
      <c r="G78" s="3"/>
      <c r="H78" s="3"/>
      <c r="I78" s="3"/>
      <c r="J78" s="4"/>
      <c r="K78" s="7"/>
      <c r="L78" s="34"/>
    </row>
    <row r="79" spans="1:12" s="11" customFormat="1" ht="15" customHeight="1">
      <c r="A79" s="6"/>
      <c r="B79" s="8" t="s">
        <v>445</v>
      </c>
      <c r="C79" s="3" t="s">
        <v>500</v>
      </c>
      <c r="D79" s="3"/>
      <c r="E79" s="3"/>
      <c r="F79" s="3">
        <v>0</v>
      </c>
      <c r="G79" s="3">
        <v>13.3</v>
      </c>
      <c r="H79" s="3"/>
      <c r="I79" s="3" t="s">
        <v>284</v>
      </c>
      <c r="J79" s="4" t="s">
        <v>443</v>
      </c>
      <c r="K79" s="7" t="s">
        <v>400</v>
      </c>
      <c r="L79" s="34"/>
    </row>
    <row r="80" spans="1:12" s="11" customFormat="1" ht="15" customHeight="1">
      <c r="A80" s="6"/>
      <c r="B80" s="8" t="s">
        <v>452</v>
      </c>
      <c r="C80" s="3" t="s">
        <v>457</v>
      </c>
      <c r="D80" s="3"/>
      <c r="E80" s="3"/>
      <c r="F80" s="3">
        <v>60</v>
      </c>
      <c r="G80" s="3">
        <v>60</v>
      </c>
      <c r="H80" s="3"/>
      <c r="I80" s="3" t="s">
        <v>354</v>
      </c>
      <c r="J80" s="4">
        <v>2015</v>
      </c>
      <c r="K80" s="99" t="s">
        <v>399</v>
      </c>
      <c r="L80" s="34"/>
    </row>
    <row r="81" spans="1:12" s="11" customFormat="1" ht="19.5" customHeight="1">
      <c r="A81" s="185" t="s">
        <v>501</v>
      </c>
      <c r="B81" s="185"/>
      <c r="C81" s="185"/>
      <c r="D81" s="185"/>
      <c r="E81" s="185"/>
      <c r="F81" s="3"/>
      <c r="G81" s="3"/>
      <c r="H81" s="3"/>
      <c r="I81" s="3"/>
      <c r="J81" s="4"/>
      <c r="K81" s="5"/>
      <c r="L81" s="34"/>
    </row>
    <row r="82" spans="1:12" s="11" customFormat="1" ht="30" customHeight="1">
      <c r="A82" s="180" t="s">
        <v>502</v>
      </c>
      <c r="B82" s="180"/>
      <c r="C82" s="180"/>
      <c r="D82" s="180"/>
      <c r="E82" s="180"/>
      <c r="F82" s="3"/>
      <c r="G82" s="3"/>
      <c r="H82" s="3"/>
      <c r="I82" s="3"/>
      <c r="J82" s="4"/>
      <c r="K82" s="5"/>
      <c r="L82" s="34"/>
    </row>
    <row r="83" spans="1:12" s="11" customFormat="1" ht="15" customHeight="1">
      <c r="A83" s="6">
        <v>3</v>
      </c>
      <c r="B83" s="8" t="s">
        <v>417</v>
      </c>
      <c r="C83" s="3"/>
      <c r="D83" s="3" t="s">
        <v>503</v>
      </c>
      <c r="E83" s="3"/>
      <c r="F83" s="3">
        <v>131.2</v>
      </c>
      <c r="G83" s="3">
        <v>52.4</v>
      </c>
      <c r="H83" s="3">
        <v>1976</v>
      </c>
      <c r="I83" s="17" t="s">
        <v>288</v>
      </c>
      <c r="J83" s="4">
        <v>2019</v>
      </c>
      <c r="K83" s="7" t="s">
        <v>416</v>
      </c>
      <c r="L83" s="34"/>
    </row>
    <row r="84" spans="1:12" s="11" customFormat="1" ht="15" customHeight="1">
      <c r="A84" s="6">
        <v>15</v>
      </c>
      <c r="B84" s="8" t="s">
        <v>428</v>
      </c>
      <c r="C84" s="3"/>
      <c r="D84" s="3" t="s">
        <v>503</v>
      </c>
      <c r="E84" s="3"/>
      <c r="F84" s="3">
        <v>140</v>
      </c>
      <c r="G84" s="3">
        <v>54.2</v>
      </c>
      <c r="H84" s="3">
        <v>1976</v>
      </c>
      <c r="I84" s="17" t="s">
        <v>288</v>
      </c>
      <c r="J84" s="4">
        <v>2018</v>
      </c>
      <c r="K84" s="7" t="s">
        <v>399</v>
      </c>
      <c r="L84" s="34"/>
    </row>
    <row r="85" spans="1:12" s="11" customFormat="1" ht="15" customHeight="1">
      <c r="A85" s="6">
        <v>26</v>
      </c>
      <c r="B85" s="8" t="s">
        <v>451</v>
      </c>
      <c r="C85" s="3"/>
      <c r="D85" s="3">
        <v>40129</v>
      </c>
      <c r="E85" s="3"/>
      <c r="F85" s="3"/>
      <c r="G85" s="3"/>
      <c r="H85" s="3"/>
      <c r="I85" s="3"/>
      <c r="J85" s="4"/>
      <c r="K85" s="7"/>
      <c r="L85" s="34"/>
    </row>
    <row r="86" spans="1:12" s="11" customFormat="1" ht="15" customHeight="1">
      <c r="A86" s="6"/>
      <c r="B86" s="8" t="s">
        <v>445</v>
      </c>
      <c r="C86" s="3" t="s">
        <v>504</v>
      </c>
      <c r="D86" s="3"/>
      <c r="E86" s="3"/>
      <c r="F86" s="3">
        <v>0</v>
      </c>
      <c r="G86" s="3">
        <v>13.3</v>
      </c>
      <c r="H86" s="3"/>
      <c r="I86" s="3" t="s">
        <v>284</v>
      </c>
      <c r="J86" s="4" t="s">
        <v>443</v>
      </c>
      <c r="K86" s="7" t="s">
        <v>400</v>
      </c>
      <c r="L86" s="34"/>
    </row>
    <row r="87" spans="1:12" s="11" customFormat="1" ht="15" customHeight="1">
      <c r="A87" s="6"/>
      <c r="B87" s="8" t="s">
        <v>452</v>
      </c>
      <c r="C87" s="3" t="s">
        <v>457</v>
      </c>
      <c r="D87" s="3"/>
      <c r="E87" s="3"/>
      <c r="F87" s="3">
        <v>120</v>
      </c>
      <c r="G87" s="3">
        <v>120</v>
      </c>
      <c r="H87" s="3"/>
      <c r="I87" s="3" t="s">
        <v>354</v>
      </c>
      <c r="J87" s="4">
        <v>2015</v>
      </c>
      <c r="K87" s="5" t="s">
        <v>399</v>
      </c>
      <c r="L87" s="34"/>
    </row>
    <row r="88" spans="1:12" s="11" customFormat="1" ht="19.5" customHeight="1">
      <c r="A88" s="185" t="s">
        <v>505</v>
      </c>
      <c r="B88" s="185"/>
      <c r="C88" s="185"/>
      <c r="D88" s="185"/>
      <c r="E88" s="185"/>
      <c r="F88" s="3"/>
      <c r="G88" s="3"/>
      <c r="H88" s="3"/>
      <c r="I88" s="3"/>
      <c r="J88" s="4"/>
      <c r="K88" s="5"/>
      <c r="L88" s="36"/>
    </row>
    <row r="89" spans="1:12" s="11" customFormat="1" ht="30" customHeight="1">
      <c r="A89" s="180" t="s">
        <v>506</v>
      </c>
      <c r="B89" s="180"/>
      <c r="C89" s="180"/>
      <c r="D89" s="180"/>
      <c r="E89" s="180"/>
      <c r="F89" s="3"/>
      <c r="G89" s="3"/>
      <c r="H89" s="3"/>
      <c r="I89" s="3"/>
      <c r="J89" s="4"/>
      <c r="K89" s="5"/>
      <c r="L89" s="36"/>
    </row>
    <row r="90" spans="1:12" s="11" customFormat="1" ht="15" customHeight="1">
      <c r="A90" s="6">
        <v>13</v>
      </c>
      <c r="B90" s="8" t="s">
        <v>427</v>
      </c>
      <c r="C90" s="3"/>
      <c r="D90" s="3" t="s">
        <v>507</v>
      </c>
      <c r="E90" s="3"/>
      <c r="F90" s="3">
        <v>89.3</v>
      </c>
      <c r="G90" s="3">
        <v>41</v>
      </c>
      <c r="H90" s="3">
        <v>2004</v>
      </c>
      <c r="I90" s="17" t="s">
        <v>288</v>
      </c>
      <c r="J90" s="4">
        <v>2019</v>
      </c>
      <c r="K90" s="7" t="s">
        <v>400</v>
      </c>
      <c r="L90" s="36"/>
    </row>
    <row r="91" spans="1:12" s="11" customFormat="1" ht="19.5" customHeight="1">
      <c r="A91" s="195" t="s">
        <v>508</v>
      </c>
      <c r="B91" s="195"/>
      <c r="C91" s="195"/>
      <c r="D91" s="195"/>
      <c r="E91" s="195"/>
      <c r="F91" s="106"/>
      <c r="G91" s="106"/>
      <c r="H91" s="106"/>
      <c r="I91" s="106"/>
      <c r="J91" s="109"/>
      <c r="K91" s="107"/>
      <c r="L91" s="36"/>
    </row>
    <row r="92" spans="1:12" s="11" customFormat="1" ht="19.5" customHeight="1">
      <c r="A92" s="202" t="s">
        <v>509</v>
      </c>
      <c r="B92" s="202"/>
      <c r="C92" s="202"/>
      <c r="D92" s="202"/>
      <c r="E92" s="202"/>
      <c r="F92" s="106"/>
      <c r="G92" s="106"/>
      <c r="H92" s="106"/>
      <c r="I92" s="106"/>
      <c r="J92" s="109"/>
      <c r="K92" s="107"/>
      <c r="L92" s="36"/>
    </row>
    <row r="93" spans="1:12" s="11" customFormat="1" ht="15.75">
      <c r="A93" s="131">
        <v>1</v>
      </c>
      <c r="B93" s="128" t="s">
        <v>415</v>
      </c>
      <c r="C93" s="129"/>
      <c r="D93" s="129">
        <v>68734</v>
      </c>
      <c r="E93" s="129"/>
      <c r="F93" s="3">
        <v>131.5</v>
      </c>
      <c r="G93" s="3">
        <v>52.7</v>
      </c>
      <c r="H93" s="3">
        <v>1992</v>
      </c>
      <c r="I93" s="17" t="s">
        <v>288</v>
      </c>
      <c r="J93" s="4">
        <v>2016</v>
      </c>
      <c r="K93" s="7" t="s">
        <v>416</v>
      </c>
      <c r="L93" s="36"/>
    </row>
    <row r="94" spans="1:12" s="11" customFormat="1" ht="15.75">
      <c r="A94" s="131">
        <v>8</v>
      </c>
      <c r="B94" s="128" t="s">
        <v>422</v>
      </c>
      <c r="C94" s="129"/>
      <c r="D94" s="129">
        <v>68734</v>
      </c>
      <c r="E94" s="129"/>
      <c r="F94" s="3">
        <v>92.6</v>
      </c>
      <c r="G94" s="3">
        <v>38.8</v>
      </c>
      <c r="H94" s="3">
        <v>1992</v>
      </c>
      <c r="I94" s="17" t="s">
        <v>288</v>
      </c>
      <c r="J94" s="4">
        <v>2016</v>
      </c>
      <c r="K94" s="7" t="s">
        <v>416</v>
      </c>
      <c r="L94" s="36"/>
    </row>
    <row r="95" spans="1:12" s="11" customFormat="1" ht="15.75">
      <c r="A95" s="131">
        <v>9</v>
      </c>
      <c r="B95" s="128" t="s">
        <v>423</v>
      </c>
      <c r="C95" s="129"/>
      <c r="D95" s="129">
        <v>68734</v>
      </c>
      <c r="E95" s="129"/>
      <c r="F95" s="3">
        <v>497.1</v>
      </c>
      <c r="G95" s="3">
        <v>189.1</v>
      </c>
      <c r="H95" s="3">
        <v>1992</v>
      </c>
      <c r="I95" s="17" t="s">
        <v>288</v>
      </c>
      <c r="J95" s="4">
        <v>2016</v>
      </c>
      <c r="K95" s="7" t="s">
        <v>416</v>
      </c>
      <c r="L95" s="36"/>
    </row>
    <row r="96" spans="1:12" s="11" customFormat="1" ht="15.75">
      <c r="A96" s="131">
        <v>11</v>
      </c>
      <c r="B96" s="128" t="s">
        <v>425</v>
      </c>
      <c r="C96" s="129"/>
      <c r="D96" s="129">
        <v>68734</v>
      </c>
      <c r="E96" s="129"/>
      <c r="F96" s="3">
        <v>80</v>
      </c>
      <c r="G96" s="3">
        <v>49</v>
      </c>
      <c r="H96" s="3">
        <v>1992</v>
      </c>
      <c r="I96" s="17" t="s">
        <v>288</v>
      </c>
      <c r="J96" s="4">
        <v>2016</v>
      </c>
      <c r="K96" s="7" t="s">
        <v>416</v>
      </c>
      <c r="L96" s="36"/>
    </row>
    <row r="97" spans="1:12" s="11" customFormat="1" ht="15.75">
      <c r="A97" s="6">
        <v>12</v>
      </c>
      <c r="B97" s="8" t="s">
        <v>426</v>
      </c>
      <c r="C97" s="3"/>
      <c r="D97" s="3">
        <v>68734</v>
      </c>
      <c r="E97" s="3"/>
      <c r="F97" s="3">
        <v>131.5</v>
      </c>
      <c r="G97" s="3">
        <v>52.7</v>
      </c>
      <c r="H97" s="3">
        <v>1992</v>
      </c>
      <c r="I97" s="17" t="s">
        <v>288</v>
      </c>
      <c r="J97" s="4">
        <v>2016</v>
      </c>
      <c r="K97" s="7" t="s">
        <v>416</v>
      </c>
      <c r="L97" s="36"/>
    </row>
    <row r="98" spans="1:12" s="11" customFormat="1" ht="15.75">
      <c r="A98" s="6">
        <v>13</v>
      </c>
      <c r="B98" s="8" t="s">
        <v>427</v>
      </c>
      <c r="C98" s="3"/>
      <c r="D98" s="3">
        <v>68734</v>
      </c>
      <c r="E98" s="3"/>
      <c r="F98" s="3">
        <v>134.3</v>
      </c>
      <c r="G98" s="3">
        <v>55.5</v>
      </c>
      <c r="H98" s="3">
        <v>1992</v>
      </c>
      <c r="I98" s="17" t="s">
        <v>288</v>
      </c>
      <c r="J98" s="4">
        <v>2016</v>
      </c>
      <c r="K98" s="7" t="s">
        <v>416</v>
      </c>
      <c r="L98" s="36"/>
    </row>
    <row r="99" spans="1:12" s="11" customFormat="1" ht="15.75">
      <c r="A99" s="6">
        <v>15</v>
      </c>
      <c r="B99" s="8" t="s">
        <v>428</v>
      </c>
      <c r="C99" s="3"/>
      <c r="D99" s="3">
        <v>68734</v>
      </c>
      <c r="E99" s="3"/>
      <c r="F99" s="3">
        <v>134.3</v>
      </c>
      <c r="G99" s="3">
        <v>55.5</v>
      </c>
      <c r="H99" s="3">
        <v>1992</v>
      </c>
      <c r="I99" s="17" t="s">
        <v>288</v>
      </c>
      <c r="J99" s="4">
        <v>2016</v>
      </c>
      <c r="K99" s="7" t="s">
        <v>416</v>
      </c>
      <c r="L99" s="36"/>
    </row>
    <row r="100" spans="1:12" s="11" customFormat="1" ht="15.75">
      <c r="A100" s="6">
        <v>23</v>
      </c>
      <c r="B100" s="8" t="s">
        <v>434</v>
      </c>
      <c r="C100" s="3"/>
      <c r="D100" s="3">
        <v>68734</v>
      </c>
      <c r="E100" s="3"/>
      <c r="F100" s="3">
        <v>107.6</v>
      </c>
      <c r="G100" s="3">
        <v>46.6</v>
      </c>
      <c r="H100" s="3">
        <v>1992</v>
      </c>
      <c r="I100" s="17" t="s">
        <v>288</v>
      </c>
      <c r="J100" s="4">
        <v>2016</v>
      </c>
      <c r="K100" s="7" t="s">
        <v>416</v>
      </c>
      <c r="L100" s="36"/>
    </row>
    <row r="101" spans="1:12" s="11" customFormat="1" ht="15" customHeight="1">
      <c r="A101" s="124">
        <v>4</v>
      </c>
      <c r="B101" s="125" t="s">
        <v>423</v>
      </c>
      <c r="C101" s="126"/>
      <c r="D101" s="126">
        <v>68734</v>
      </c>
      <c r="E101" s="126"/>
      <c r="F101" s="126"/>
      <c r="G101" s="126"/>
      <c r="H101" s="126"/>
      <c r="I101" s="127" t="s">
        <v>609</v>
      </c>
      <c r="J101" s="109"/>
      <c r="K101" s="7" t="s">
        <v>416</v>
      </c>
      <c r="L101" s="36"/>
    </row>
    <row r="102" spans="1:12" s="11" customFormat="1" ht="15" customHeight="1">
      <c r="A102" s="124">
        <v>5</v>
      </c>
      <c r="B102" s="125" t="s">
        <v>425</v>
      </c>
      <c r="C102" s="126"/>
      <c r="D102" s="126">
        <v>68734</v>
      </c>
      <c r="E102" s="126"/>
      <c r="F102" s="126"/>
      <c r="G102" s="126"/>
      <c r="H102" s="126"/>
      <c r="I102" s="127" t="s">
        <v>609</v>
      </c>
      <c r="J102" s="109"/>
      <c r="K102" s="7" t="s">
        <v>416</v>
      </c>
      <c r="L102" s="36"/>
    </row>
    <row r="103" spans="1:12" s="11" customFormat="1" ht="19.5" customHeight="1">
      <c r="A103" s="185" t="s">
        <v>513</v>
      </c>
      <c r="B103" s="185"/>
      <c r="C103" s="185"/>
      <c r="D103" s="185"/>
      <c r="E103" s="185"/>
      <c r="F103" s="3"/>
      <c r="G103" s="3"/>
      <c r="H103" s="3"/>
      <c r="I103" s="3"/>
      <c r="J103" s="4"/>
      <c r="K103" s="5"/>
      <c r="L103" s="36"/>
    </row>
    <row r="104" spans="1:12" s="11" customFormat="1" ht="30" customHeight="1">
      <c r="A104" s="181" t="s">
        <v>414</v>
      </c>
      <c r="B104" s="182"/>
      <c r="C104" s="182"/>
      <c r="D104" s="182"/>
      <c r="E104" s="182"/>
      <c r="F104" s="183"/>
      <c r="G104" s="3"/>
      <c r="H104" s="3"/>
      <c r="I104" s="3"/>
      <c r="J104" s="4"/>
      <c r="K104" s="5"/>
      <c r="L104" s="34"/>
    </row>
    <row r="105" spans="1:12" s="11" customFormat="1" ht="15" customHeight="1">
      <c r="A105" s="6">
        <v>2</v>
      </c>
      <c r="B105" s="8" t="s">
        <v>456</v>
      </c>
      <c r="C105" s="3"/>
      <c r="D105" s="3" t="s">
        <v>514</v>
      </c>
      <c r="E105" s="3"/>
      <c r="F105" s="3">
        <v>94.7</v>
      </c>
      <c r="G105" s="3">
        <v>39.7</v>
      </c>
      <c r="H105" s="3">
        <v>1996</v>
      </c>
      <c r="I105" s="17" t="s">
        <v>288</v>
      </c>
      <c r="J105" s="4">
        <v>2014</v>
      </c>
      <c r="K105" s="7" t="s">
        <v>416</v>
      </c>
      <c r="L105" s="36"/>
    </row>
    <row r="106" spans="1:12" s="11" customFormat="1" ht="15" customHeight="1">
      <c r="A106" s="6">
        <v>11</v>
      </c>
      <c r="B106" s="8" t="s">
        <v>425</v>
      </c>
      <c r="C106" s="3"/>
      <c r="D106" s="3" t="s">
        <v>515</v>
      </c>
      <c r="E106" s="3"/>
      <c r="F106" s="3">
        <v>94.7</v>
      </c>
      <c r="G106" s="3">
        <v>39.7</v>
      </c>
      <c r="H106" s="3">
        <v>1996</v>
      </c>
      <c r="I106" s="17" t="s">
        <v>288</v>
      </c>
      <c r="J106" s="4">
        <v>2020</v>
      </c>
      <c r="K106" s="7" t="s">
        <v>400</v>
      </c>
      <c r="L106" s="36"/>
    </row>
    <row r="107" spans="1:12" s="11" customFormat="1" ht="15" customHeight="1">
      <c r="A107" s="6">
        <v>12</v>
      </c>
      <c r="B107" s="8" t="s">
        <v>516</v>
      </c>
      <c r="C107" s="3"/>
      <c r="D107" s="3" t="s">
        <v>517</v>
      </c>
      <c r="E107" s="3"/>
      <c r="F107" s="3">
        <v>73.7</v>
      </c>
      <c r="G107" s="3">
        <v>41.7</v>
      </c>
      <c r="H107" s="3">
        <v>1996</v>
      </c>
      <c r="I107" s="17" t="s">
        <v>288</v>
      </c>
      <c r="J107" s="4">
        <v>2020</v>
      </c>
      <c r="K107" s="7" t="s">
        <v>416</v>
      </c>
      <c r="L107" s="36"/>
    </row>
    <row r="108" spans="1:12" s="11" customFormat="1" ht="15" customHeight="1">
      <c r="A108" s="6">
        <v>15</v>
      </c>
      <c r="B108" s="8" t="s">
        <v>518</v>
      </c>
      <c r="C108" s="3"/>
      <c r="D108" s="3" t="s">
        <v>519</v>
      </c>
      <c r="E108" s="3"/>
      <c r="F108" s="3">
        <v>73.7</v>
      </c>
      <c r="G108" s="3">
        <v>41.7</v>
      </c>
      <c r="H108" s="3">
        <v>1996</v>
      </c>
      <c r="I108" s="17" t="s">
        <v>288</v>
      </c>
      <c r="J108" s="4">
        <v>2020</v>
      </c>
      <c r="K108" s="7" t="s">
        <v>416</v>
      </c>
      <c r="L108" s="36"/>
    </row>
    <row r="109" spans="1:12" s="11" customFormat="1" ht="15" customHeight="1">
      <c r="A109" s="6">
        <v>21</v>
      </c>
      <c r="B109" s="8" t="s">
        <v>520</v>
      </c>
      <c r="C109" s="3"/>
      <c r="D109" s="3" t="s">
        <v>521</v>
      </c>
      <c r="E109" s="3"/>
      <c r="F109" s="3">
        <v>19</v>
      </c>
      <c r="G109" s="3">
        <v>6</v>
      </c>
      <c r="H109" s="3">
        <v>1996</v>
      </c>
      <c r="I109" s="17" t="s">
        <v>288</v>
      </c>
      <c r="J109" s="4">
        <v>2020</v>
      </c>
      <c r="K109" s="7" t="s">
        <v>400</v>
      </c>
      <c r="L109" s="36"/>
    </row>
    <row r="110" spans="1:12" s="11" customFormat="1" ht="15" customHeight="1">
      <c r="A110" s="6">
        <v>25</v>
      </c>
      <c r="B110" s="8" t="s">
        <v>435</v>
      </c>
      <c r="C110" s="3"/>
      <c r="D110" s="3" t="s">
        <v>522</v>
      </c>
      <c r="E110" s="3"/>
      <c r="F110" s="3">
        <v>94.7</v>
      </c>
      <c r="G110" s="3">
        <v>39.7</v>
      </c>
      <c r="H110" s="3">
        <v>1996</v>
      </c>
      <c r="I110" s="17" t="s">
        <v>288</v>
      </c>
      <c r="J110" s="4">
        <v>2014</v>
      </c>
      <c r="K110" s="7" t="s">
        <v>416</v>
      </c>
      <c r="L110" s="36"/>
    </row>
    <row r="111" spans="1:12" s="11" customFormat="1" ht="15" customHeight="1">
      <c r="A111" s="6">
        <v>27</v>
      </c>
      <c r="B111" s="8" t="s">
        <v>523</v>
      </c>
      <c r="C111" s="3"/>
      <c r="D111" s="3"/>
      <c r="E111" s="3"/>
      <c r="F111" s="3">
        <v>289.9</v>
      </c>
      <c r="G111" s="3">
        <v>135.8</v>
      </c>
      <c r="H111" s="3">
        <v>1996</v>
      </c>
      <c r="I111" s="3" t="s">
        <v>362</v>
      </c>
      <c r="J111" s="4">
        <v>2020</v>
      </c>
      <c r="K111" s="7" t="s">
        <v>400</v>
      </c>
      <c r="L111" s="36"/>
    </row>
    <row r="112" spans="1:12" s="11" customFormat="1" ht="19.5" customHeight="1">
      <c r="A112" s="185" t="s">
        <v>524</v>
      </c>
      <c r="B112" s="185"/>
      <c r="C112" s="185"/>
      <c r="D112" s="185"/>
      <c r="E112" s="185"/>
      <c r="F112" s="3"/>
      <c r="G112" s="3"/>
      <c r="H112" s="3"/>
      <c r="I112" s="3"/>
      <c r="J112" s="4"/>
      <c r="K112" s="5"/>
      <c r="L112" s="34"/>
    </row>
    <row r="113" spans="1:12" s="11" customFormat="1" ht="16.5">
      <c r="A113" s="181" t="s">
        <v>621</v>
      </c>
      <c r="B113" s="182"/>
      <c r="C113" s="182"/>
      <c r="D113" s="182"/>
      <c r="E113" s="182"/>
      <c r="F113" s="182"/>
      <c r="G113" s="183"/>
      <c r="H113" s="3"/>
      <c r="I113" s="3"/>
      <c r="J113" s="4"/>
      <c r="K113" s="5"/>
      <c r="L113" s="34"/>
    </row>
    <row r="114" spans="1:12" s="11" customFormat="1" ht="15" customHeight="1">
      <c r="A114" s="6">
        <v>5</v>
      </c>
      <c r="B114" s="8" t="s">
        <v>419</v>
      </c>
      <c r="C114" s="3"/>
      <c r="D114" s="3" t="s">
        <v>525</v>
      </c>
      <c r="E114" s="3"/>
      <c r="F114" s="3">
        <v>44.8</v>
      </c>
      <c r="G114" s="3">
        <v>26.8</v>
      </c>
      <c r="H114" s="3">
        <v>2007</v>
      </c>
      <c r="I114" s="17" t="s">
        <v>288</v>
      </c>
      <c r="J114" s="4">
        <v>2019</v>
      </c>
      <c r="K114" s="7" t="s">
        <v>400</v>
      </c>
      <c r="L114" s="34"/>
    </row>
    <row r="115" spans="1:12" s="11" customFormat="1" ht="15" customHeight="1">
      <c r="A115" s="6">
        <v>6</v>
      </c>
      <c r="B115" s="8" t="s">
        <v>420</v>
      </c>
      <c r="C115" s="3"/>
      <c r="D115" s="3" t="s">
        <v>525</v>
      </c>
      <c r="E115" s="3"/>
      <c r="F115" s="3">
        <v>96.2</v>
      </c>
      <c r="G115" s="3">
        <v>35</v>
      </c>
      <c r="H115" s="3">
        <v>2007</v>
      </c>
      <c r="I115" s="17" t="s">
        <v>288</v>
      </c>
      <c r="J115" s="4">
        <v>2019</v>
      </c>
      <c r="K115" s="7" t="s">
        <v>400</v>
      </c>
      <c r="L115" s="34"/>
    </row>
    <row r="116" spans="1:12" s="11" customFormat="1" ht="30" customHeight="1">
      <c r="A116" s="180" t="s">
        <v>527</v>
      </c>
      <c r="B116" s="180"/>
      <c r="C116" s="180"/>
      <c r="D116" s="180"/>
      <c r="E116" s="180"/>
      <c r="F116" s="3"/>
      <c r="G116" s="3"/>
      <c r="H116" s="3"/>
      <c r="I116" s="3"/>
      <c r="J116" s="4"/>
      <c r="K116" s="5"/>
      <c r="L116" s="34"/>
    </row>
    <row r="117" spans="1:12" s="11" customFormat="1" ht="15" customHeight="1">
      <c r="A117" s="6">
        <v>12</v>
      </c>
      <c r="B117" s="8" t="s">
        <v>539</v>
      </c>
      <c r="C117" s="3"/>
      <c r="D117" s="3"/>
      <c r="E117" s="3"/>
      <c r="F117" s="3"/>
      <c r="G117" s="3"/>
      <c r="H117" s="3"/>
      <c r="I117" s="3"/>
      <c r="J117" s="4"/>
      <c r="K117" s="7"/>
      <c r="L117" s="34"/>
    </row>
    <row r="118" spans="1:12" s="11" customFormat="1" ht="15" customHeight="1">
      <c r="A118" s="6"/>
      <c r="B118" s="8" t="s">
        <v>540</v>
      </c>
      <c r="C118" s="3" t="s">
        <v>541</v>
      </c>
      <c r="D118" s="3"/>
      <c r="E118" s="3"/>
      <c r="F118" s="3">
        <v>162</v>
      </c>
      <c r="G118" s="3">
        <v>36</v>
      </c>
      <c r="H118" s="3">
        <v>1962</v>
      </c>
      <c r="I118" s="3" t="s">
        <v>215</v>
      </c>
      <c r="J118" s="4">
        <v>2017</v>
      </c>
      <c r="K118" s="7" t="s">
        <v>416</v>
      </c>
      <c r="L118" s="34"/>
    </row>
    <row r="119" spans="1:12" s="11" customFormat="1" ht="39" customHeight="1">
      <c r="A119" s="180" t="s">
        <v>543</v>
      </c>
      <c r="B119" s="180"/>
      <c r="C119" s="180"/>
      <c r="D119" s="180"/>
      <c r="E119" s="180"/>
      <c r="F119" s="3"/>
      <c r="G119" s="3"/>
      <c r="H119" s="3"/>
      <c r="I119" s="3"/>
      <c r="J119" s="4"/>
      <c r="K119" s="5"/>
      <c r="L119" s="34"/>
    </row>
    <row r="120" spans="1:12" s="11" customFormat="1" ht="15.75" customHeight="1">
      <c r="A120" s="6">
        <v>9</v>
      </c>
      <c r="B120" s="8" t="s">
        <v>539</v>
      </c>
      <c r="C120" s="3"/>
      <c r="D120" s="3"/>
      <c r="E120" s="3"/>
      <c r="F120" s="3"/>
      <c r="G120" s="3"/>
      <c r="H120" s="3"/>
      <c r="I120" s="3"/>
      <c r="J120" s="4"/>
      <c r="K120" s="7"/>
      <c r="L120" s="34"/>
    </row>
    <row r="121" spans="1:12" s="11" customFormat="1" ht="15.75" customHeight="1">
      <c r="A121" s="6"/>
      <c r="B121" s="8" t="s">
        <v>544</v>
      </c>
      <c r="C121" s="3" t="s">
        <v>541</v>
      </c>
      <c r="D121" s="3"/>
      <c r="E121" s="3"/>
      <c r="F121" s="3">
        <v>162</v>
      </c>
      <c r="G121" s="3">
        <v>36</v>
      </c>
      <c r="H121" s="3"/>
      <c r="I121" s="3" t="s">
        <v>215</v>
      </c>
      <c r="J121" s="4">
        <v>2019</v>
      </c>
      <c r="K121" s="7" t="s">
        <v>416</v>
      </c>
      <c r="L121" s="34"/>
    </row>
    <row r="122" spans="1:12" s="11" customFormat="1" ht="15.75" customHeight="1">
      <c r="A122" s="6">
        <v>11</v>
      </c>
      <c r="B122" s="8" t="s">
        <v>546</v>
      </c>
      <c r="C122" s="3"/>
      <c r="D122" s="3"/>
      <c r="E122" s="3"/>
      <c r="F122" s="3"/>
      <c r="G122" s="3"/>
      <c r="H122" s="3"/>
      <c r="I122" s="3"/>
      <c r="J122" s="4"/>
      <c r="K122" s="7"/>
      <c r="L122" s="34"/>
    </row>
    <row r="123" spans="1:12" s="11" customFormat="1" ht="15.75" customHeight="1">
      <c r="A123" s="6"/>
      <c r="B123" s="8" t="s">
        <v>547</v>
      </c>
      <c r="C123" s="3"/>
      <c r="D123" s="3">
        <v>10018</v>
      </c>
      <c r="E123" s="3"/>
      <c r="F123" s="3">
        <v>2</v>
      </c>
      <c r="G123" s="3">
        <v>2</v>
      </c>
      <c r="H123" s="3"/>
      <c r="I123" s="3" t="s">
        <v>285</v>
      </c>
      <c r="J123" s="4" t="s">
        <v>443</v>
      </c>
      <c r="K123" s="7" t="s">
        <v>400</v>
      </c>
      <c r="L123" s="34"/>
    </row>
    <row r="124" spans="1:12" s="11" customFormat="1" ht="15.75" customHeight="1">
      <c r="A124" s="6">
        <v>12</v>
      </c>
      <c r="B124" s="8" t="s">
        <v>548</v>
      </c>
      <c r="C124" s="3" t="s">
        <v>453</v>
      </c>
      <c r="D124" s="3">
        <v>10018</v>
      </c>
      <c r="E124" s="3"/>
      <c r="F124" s="3">
        <v>0</v>
      </c>
      <c r="G124" s="3">
        <v>10.1</v>
      </c>
      <c r="H124" s="3"/>
      <c r="I124" s="3" t="s">
        <v>380</v>
      </c>
      <c r="J124" s="4" t="s">
        <v>443</v>
      </c>
      <c r="K124" s="7" t="s">
        <v>400</v>
      </c>
      <c r="L124" s="34"/>
    </row>
    <row r="125" spans="1:12" s="11" customFormat="1" ht="15.75" customHeight="1">
      <c r="A125" s="6">
        <v>13</v>
      </c>
      <c r="B125" s="13" t="s">
        <v>542</v>
      </c>
      <c r="C125" s="3" t="s">
        <v>453</v>
      </c>
      <c r="D125" s="3">
        <v>10018</v>
      </c>
      <c r="E125" s="3"/>
      <c r="F125" s="3">
        <v>0</v>
      </c>
      <c r="G125" s="3">
        <v>10.1</v>
      </c>
      <c r="H125" s="3"/>
      <c r="I125" s="3" t="s">
        <v>380</v>
      </c>
      <c r="J125" s="4" t="s">
        <v>443</v>
      </c>
      <c r="K125" s="7" t="s">
        <v>400</v>
      </c>
      <c r="L125" s="34"/>
    </row>
    <row r="126" spans="1:12" s="11" customFormat="1" ht="35.25" customHeight="1">
      <c r="A126" s="180" t="s">
        <v>551</v>
      </c>
      <c r="B126" s="180"/>
      <c r="C126" s="180"/>
      <c r="D126" s="180"/>
      <c r="E126" s="180"/>
      <c r="F126" s="3"/>
      <c r="G126" s="3"/>
      <c r="H126" s="3"/>
      <c r="I126" s="3"/>
      <c r="J126" s="4"/>
      <c r="K126" s="5"/>
      <c r="L126" s="34"/>
    </row>
    <row r="127" spans="1:12" s="11" customFormat="1" ht="15.75" customHeight="1">
      <c r="A127" s="6">
        <v>1</v>
      </c>
      <c r="B127" s="8" t="s">
        <v>549</v>
      </c>
      <c r="C127" s="3" t="s">
        <v>528</v>
      </c>
      <c r="D127" s="3">
        <v>10377</v>
      </c>
      <c r="E127" s="3"/>
      <c r="F127" s="3">
        <v>40</v>
      </c>
      <c r="G127" s="3">
        <v>12</v>
      </c>
      <c r="H127" s="3">
        <v>2005</v>
      </c>
      <c r="I127" s="3" t="s">
        <v>511</v>
      </c>
      <c r="J127" s="4">
        <v>2015</v>
      </c>
      <c r="K127" s="7" t="s">
        <v>399</v>
      </c>
      <c r="L127" s="34"/>
    </row>
    <row r="128" spans="1:12" s="11" customFormat="1" ht="15.75" customHeight="1">
      <c r="A128" s="6">
        <v>2</v>
      </c>
      <c r="B128" s="8" t="s">
        <v>529</v>
      </c>
      <c r="C128" s="3" t="s">
        <v>552</v>
      </c>
      <c r="D128" s="3">
        <v>10377</v>
      </c>
      <c r="E128" s="3"/>
      <c r="F128" s="3">
        <v>15</v>
      </c>
      <c r="G128" s="3">
        <v>3</v>
      </c>
      <c r="H128" s="3"/>
      <c r="I128" s="3" t="s">
        <v>512</v>
      </c>
      <c r="J128" s="4">
        <v>2020</v>
      </c>
      <c r="K128" s="7" t="s">
        <v>400</v>
      </c>
      <c r="L128" s="34"/>
    </row>
    <row r="129" spans="1:12" s="11" customFormat="1" ht="15.75" customHeight="1">
      <c r="A129" s="6">
        <v>3</v>
      </c>
      <c r="B129" s="8" t="s">
        <v>530</v>
      </c>
      <c r="C129" s="3"/>
      <c r="D129" s="3">
        <v>10377</v>
      </c>
      <c r="E129" s="3"/>
      <c r="F129" s="3">
        <v>7</v>
      </c>
      <c r="G129" s="3">
        <v>1.8</v>
      </c>
      <c r="H129" s="3"/>
      <c r="I129" s="3" t="s">
        <v>511</v>
      </c>
      <c r="J129" s="4">
        <v>2020</v>
      </c>
      <c r="K129" s="7" t="s">
        <v>416</v>
      </c>
      <c r="L129" s="34"/>
    </row>
    <row r="130" spans="1:12" s="11" customFormat="1" ht="15.75" customHeight="1">
      <c r="A130" s="6">
        <v>4</v>
      </c>
      <c r="B130" s="8" t="s">
        <v>531</v>
      </c>
      <c r="C130" s="3" t="s">
        <v>453</v>
      </c>
      <c r="D130" s="3">
        <v>10377</v>
      </c>
      <c r="E130" s="3"/>
      <c r="F130" s="3">
        <v>6</v>
      </c>
      <c r="G130" s="3">
        <v>1.2</v>
      </c>
      <c r="H130" s="3"/>
      <c r="I130" s="3" t="s">
        <v>512</v>
      </c>
      <c r="J130" s="4">
        <v>2020</v>
      </c>
      <c r="K130" s="7" t="s">
        <v>400</v>
      </c>
      <c r="L130" s="34"/>
    </row>
    <row r="131" spans="1:12" s="11" customFormat="1" ht="15.75" customHeight="1">
      <c r="A131" s="6">
        <v>5</v>
      </c>
      <c r="B131" s="8" t="s">
        <v>532</v>
      </c>
      <c r="C131" s="3" t="s">
        <v>450</v>
      </c>
      <c r="D131" s="3">
        <v>10377</v>
      </c>
      <c r="E131" s="3"/>
      <c r="F131" s="3">
        <v>66</v>
      </c>
      <c r="G131" s="3">
        <v>13.2</v>
      </c>
      <c r="H131" s="3"/>
      <c r="I131" s="3" t="s">
        <v>511</v>
      </c>
      <c r="J131" s="4">
        <v>2020</v>
      </c>
      <c r="K131" s="7" t="s">
        <v>416</v>
      </c>
      <c r="L131" s="34"/>
    </row>
    <row r="132" spans="1:12" s="11" customFormat="1" ht="15.75" customHeight="1">
      <c r="A132" s="6">
        <v>6</v>
      </c>
      <c r="B132" s="8" t="s">
        <v>550</v>
      </c>
      <c r="C132" s="3"/>
      <c r="D132" s="3"/>
      <c r="E132" s="3"/>
      <c r="F132" s="3"/>
      <c r="G132" s="3"/>
      <c r="H132" s="3"/>
      <c r="I132" s="3"/>
      <c r="J132" s="4"/>
      <c r="K132" s="7"/>
      <c r="L132" s="34"/>
    </row>
    <row r="133" spans="1:12" s="11" customFormat="1" ht="15.75" customHeight="1">
      <c r="A133" s="6"/>
      <c r="B133" s="8" t="s">
        <v>553</v>
      </c>
      <c r="C133" s="3" t="s">
        <v>458</v>
      </c>
      <c r="D133" s="3">
        <v>10377</v>
      </c>
      <c r="E133" s="3"/>
      <c r="F133" s="3">
        <v>40</v>
      </c>
      <c r="G133" s="3">
        <v>12</v>
      </c>
      <c r="H133" s="3"/>
      <c r="I133" s="3" t="s">
        <v>511</v>
      </c>
      <c r="J133" s="4">
        <v>2020</v>
      </c>
      <c r="K133" s="7" t="s">
        <v>493</v>
      </c>
      <c r="L133" s="34"/>
    </row>
    <row r="134" spans="1:12" s="11" customFormat="1" ht="15.75" customHeight="1">
      <c r="A134" s="6">
        <v>7</v>
      </c>
      <c r="B134" s="8" t="s">
        <v>533</v>
      </c>
      <c r="C134" s="3" t="s">
        <v>450</v>
      </c>
      <c r="D134" s="3">
        <v>10377</v>
      </c>
      <c r="E134" s="3"/>
      <c r="F134" s="3">
        <v>18</v>
      </c>
      <c r="G134" s="3">
        <v>3.6</v>
      </c>
      <c r="H134" s="3"/>
      <c r="I134" s="3" t="s">
        <v>609</v>
      </c>
      <c r="J134" s="4">
        <v>2020</v>
      </c>
      <c r="K134" s="7" t="s">
        <v>400</v>
      </c>
      <c r="L134" s="34"/>
    </row>
    <row r="135" spans="1:12" s="11" customFormat="1" ht="15.75" customHeight="1">
      <c r="A135" s="6">
        <v>8</v>
      </c>
      <c r="B135" s="8" t="s">
        <v>534</v>
      </c>
      <c r="C135" s="3" t="s">
        <v>535</v>
      </c>
      <c r="D135" s="3">
        <v>10377</v>
      </c>
      <c r="E135" s="3"/>
      <c r="F135" s="3">
        <v>36</v>
      </c>
      <c r="G135" s="3">
        <v>0</v>
      </c>
      <c r="H135" s="3"/>
      <c r="I135" s="3" t="s">
        <v>607</v>
      </c>
      <c r="J135" s="4">
        <v>2014</v>
      </c>
      <c r="K135" s="7" t="s">
        <v>416</v>
      </c>
      <c r="L135" s="34"/>
    </row>
    <row r="136" spans="1:12" s="11" customFormat="1" ht="15.75" customHeight="1">
      <c r="A136" s="6">
        <v>9</v>
      </c>
      <c r="B136" s="8" t="s">
        <v>554</v>
      </c>
      <c r="C136" s="3"/>
      <c r="D136" s="3"/>
      <c r="E136" s="3"/>
      <c r="F136" s="3"/>
      <c r="G136" s="3"/>
      <c r="H136" s="3"/>
      <c r="I136" s="3"/>
      <c r="J136" s="4"/>
      <c r="K136" s="7"/>
      <c r="L136" s="34"/>
    </row>
    <row r="137" spans="1:12" s="11" customFormat="1" ht="15.75" customHeight="1">
      <c r="A137" s="6"/>
      <c r="B137" s="8" t="s">
        <v>555</v>
      </c>
      <c r="C137" s="3" t="s">
        <v>541</v>
      </c>
      <c r="D137" s="3">
        <v>10377</v>
      </c>
      <c r="E137" s="3"/>
      <c r="F137" s="3">
        <v>162</v>
      </c>
      <c r="G137" s="3">
        <v>36</v>
      </c>
      <c r="H137" s="3"/>
      <c r="I137" s="3" t="s">
        <v>215</v>
      </c>
      <c r="J137" s="4">
        <v>2020</v>
      </c>
      <c r="K137" s="7" t="s">
        <v>400</v>
      </c>
      <c r="L137" s="34"/>
    </row>
    <row r="138" spans="1:12" s="11" customFormat="1" ht="15.75" customHeight="1">
      <c r="A138" s="6">
        <v>10</v>
      </c>
      <c r="B138" s="8" t="s">
        <v>537</v>
      </c>
      <c r="C138" s="3" t="s">
        <v>538</v>
      </c>
      <c r="D138" s="3">
        <v>10377</v>
      </c>
      <c r="E138" s="3"/>
      <c r="F138" s="3">
        <v>2</v>
      </c>
      <c r="G138" s="3">
        <v>2</v>
      </c>
      <c r="H138" s="3"/>
      <c r="I138" s="3" t="s">
        <v>468</v>
      </c>
      <c r="J138" s="4" t="s">
        <v>443</v>
      </c>
      <c r="K138" s="7" t="s">
        <v>416</v>
      </c>
      <c r="L138" s="34"/>
    </row>
    <row r="139" spans="1:12" s="11" customFormat="1" ht="15.75" customHeight="1">
      <c r="A139" s="6">
        <v>11</v>
      </c>
      <c r="B139" s="8" t="s">
        <v>548</v>
      </c>
      <c r="C139" s="3" t="s">
        <v>453</v>
      </c>
      <c r="D139" s="3">
        <v>10377</v>
      </c>
      <c r="E139" s="3"/>
      <c r="F139" s="3">
        <v>0</v>
      </c>
      <c r="G139" s="3">
        <v>10.1</v>
      </c>
      <c r="H139" s="3"/>
      <c r="I139" s="3" t="s">
        <v>380</v>
      </c>
      <c r="J139" s="4" t="s">
        <v>443</v>
      </c>
      <c r="K139" s="7" t="s">
        <v>416</v>
      </c>
      <c r="L139" s="34"/>
    </row>
    <row r="140" spans="1:12" s="11" customFormat="1" ht="15.75" customHeight="1">
      <c r="A140" s="6">
        <v>12</v>
      </c>
      <c r="B140" s="8" t="s">
        <v>545</v>
      </c>
      <c r="C140" s="101" t="s">
        <v>536</v>
      </c>
      <c r="D140" s="3">
        <v>42419</v>
      </c>
      <c r="E140" s="3"/>
      <c r="F140" s="3">
        <v>20</v>
      </c>
      <c r="G140" s="3">
        <v>6</v>
      </c>
      <c r="H140" s="3">
        <v>1981</v>
      </c>
      <c r="I140" s="3" t="s">
        <v>285</v>
      </c>
      <c r="J140" s="4">
        <v>2017</v>
      </c>
      <c r="K140" s="7"/>
      <c r="L140" s="34"/>
    </row>
    <row r="141" spans="1:12" s="11" customFormat="1" ht="15.75" customHeight="1">
      <c r="A141" s="6">
        <v>13</v>
      </c>
      <c r="B141" s="13" t="s">
        <v>542</v>
      </c>
      <c r="C141" s="3" t="s">
        <v>453</v>
      </c>
      <c r="D141" s="3">
        <v>10377</v>
      </c>
      <c r="E141" s="3"/>
      <c r="F141" s="3">
        <v>0</v>
      </c>
      <c r="G141" s="3">
        <v>10.1</v>
      </c>
      <c r="H141" s="3"/>
      <c r="I141" s="3" t="s">
        <v>380</v>
      </c>
      <c r="J141" s="4" t="s">
        <v>443</v>
      </c>
      <c r="K141" s="7" t="s">
        <v>416</v>
      </c>
      <c r="L141" s="34"/>
    </row>
    <row r="142" spans="1:245" ht="16.5" customHeight="1">
      <c r="A142" s="180" t="s">
        <v>556</v>
      </c>
      <c r="B142" s="180"/>
      <c r="C142" s="180"/>
      <c r="D142" s="180"/>
      <c r="E142" s="180"/>
      <c r="F142" s="3"/>
      <c r="G142" s="3"/>
      <c r="H142" s="3"/>
      <c r="I142" s="3"/>
      <c r="J142" s="4"/>
      <c r="K142" s="5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</row>
    <row r="143" spans="1:245" ht="15" customHeight="1">
      <c r="A143" s="6">
        <v>24</v>
      </c>
      <c r="B143" s="8" t="s">
        <v>561</v>
      </c>
      <c r="C143" s="3">
        <v>6421</v>
      </c>
      <c r="D143" s="3" t="s">
        <v>562</v>
      </c>
      <c r="E143" s="3">
        <v>1000</v>
      </c>
      <c r="F143" s="3">
        <v>310</v>
      </c>
      <c r="G143" s="3">
        <v>62</v>
      </c>
      <c r="H143" s="3">
        <v>1971</v>
      </c>
      <c r="I143" s="3" t="s">
        <v>608</v>
      </c>
      <c r="J143" s="4">
        <v>2019</v>
      </c>
      <c r="K143" s="7" t="s">
        <v>416</v>
      </c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</row>
    <row r="144" spans="1:245" ht="15" customHeight="1">
      <c r="A144" s="6">
        <v>34</v>
      </c>
      <c r="B144" s="8" t="s">
        <v>574</v>
      </c>
      <c r="C144" s="3">
        <v>843333</v>
      </c>
      <c r="D144" s="3" t="s">
        <v>575</v>
      </c>
      <c r="E144" s="3">
        <v>5600</v>
      </c>
      <c r="F144" s="3">
        <v>360</v>
      </c>
      <c r="G144" s="3">
        <v>120</v>
      </c>
      <c r="H144" s="3">
        <v>1964</v>
      </c>
      <c r="I144" s="3" t="s">
        <v>608</v>
      </c>
      <c r="J144" s="4">
        <v>2009</v>
      </c>
      <c r="K144" s="7" t="s">
        <v>399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</row>
    <row r="145" spans="1:245" ht="15" customHeight="1">
      <c r="A145" s="6">
        <v>50</v>
      </c>
      <c r="B145" s="8" t="s">
        <v>573</v>
      </c>
      <c r="C145" s="3">
        <v>15072</v>
      </c>
      <c r="D145" s="3" t="s">
        <v>113</v>
      </c>
      <c r="E145" s="3">
        <v>1000</v>
      </c>
      <c r="F145" s="3">
        <v>310</v>
      </c>
      <c r="G145" s="3">
        <v>62</v>
      </c>
      <c r="H145" s="3">
        <v>1976</v>
      </c>
      <c r="I145" s="3" t="s">
        <v>608</v>
      </c>
      <c r="J145" s="4">
        <v>2018</v>
      </c>
      <c r="K145" s="7" t="s">
        <v>400</v>
      </c>
      <c r="L145" s="113"/>
      <c r="M145" s="113"/>
      <c r="N145" s="113"/>
      <c r="O145" s="113"/>
      <c r="P145" s="114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</row>
    <row r="146" spans="1:245" ht="16.5">
      <c r="A146" s="186" t="s">
        <v>637</v>
      </c>
      <c r="B146" s="187"/>
      <c r="C146" s="187"/>
      <c r="D146" s="187"/>
      <c r="E146" s="187"/>
      <c r="F146" s="187"/>
      <c r="G146" s="188"/>
      <c r="H146" s="3"/>
      <c r="I146" s="3"/>
      <c r="J146" s="4"/>
      <c r="K146" s="7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</row>
    <row r="147" spans="1:245" ht="15" customHeight="1">
      <c r="A147" s="6">
        <v>3</v>
      </c>
      <c r="B147" s="8" t="s">
        <v>557</v>
      </c>
      <c r="C147" s="3">
        <v>2039</v>
      </c>
      <c r="D147" s="3" t="s">
        <v>558</v>
      </c>
      <c r="E147" s="3">
        <v>1000</v>
      </c>
      <c r="F147" s="3">
        <v>310</v>
      </c>
      <c r="G147" s="3">
        <v>62</v>
      </c>
      <c r="H147" s="3">
        <v>1964</v>
      </c>
      <c r="I147" s="3" t="s">
        <v>608</v>
      </c>
      <c r="J147" s="4">
        <v>2020</v>
      </c>
      <c r="K147" s="7" t="s">
        <v>416</v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</row>
    <row r="148" spans="1:245" ht="15" customHeight="1">
      <c r="A148" s="6">
        <v>4</v>
      </c>
      <c r="B148" s="8" t="s">
        <v>560</v>
      </c>
      <c r="C148" s="3">
        <v>1176</v>
      </c>
      <c r="D148" s="3" t="s">
        <v>559</v>
      </c>
      <c r="E148" s="3">
        <v>1000</v>
      </c>
      <c r="F148" s="3">
        <v>310</v>
      </c>
      <c r="G148" s="3">
        <v>62</v>
      </c>
      <c r="H148" s="3">
        <v>1966</v>
      </c>
      <c r="I148" s="3" t="s">
        <v>608</v>
      </c>
      <c r="J148" s="4">
        <v>2012</v>
      </c>
      <c r="K148" s="7" t="s">
        <v>400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</row>
    <row r="149" spans="1:245" ht="15" customHeight="1">
      <c r="A149" s="6">
        <v>24</v>
      </c>
      <c r="B149" s="8" t="s">
        <v>563</v>
      </c>
      <c r="C149" s="3">
        <v>5719</v>
      </c>
      <c r="D149" s="3" t="s">
        <v>564</v>
      </c>
      <c r="E149" s="3">
        <v>1000</v>
      </c>
      <c r="F149" s="3">
        <v>310</v>
      </c>
      <c r="G149" s="3">
        <v>62</v>
      </c>
      <c r="H149" s="3">
        <v>1971</v>
      </c>
      <c r="I149" s="3" t="s">
        <v>608</v>
      </c>
      <c r="J149" s="4">
        <v>2019</v>
      </c>
      <c r="K149" s="7" t="s">
        <v>416</v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</row>
    <row r="150" spans="1:12" s="11" customFormat="1" ht="15" customHeight="1">
      <c r="A150" s="6">
        <v>26</v>
      </c>
      <c r="B150" s="8" t="s">
        <v>567</v>
      </c>
      <c r="C150" s="3">
        <v>13670</v>
      </c>
      <c r="D150" s="3" t="s">
        <v>568</v>
      </c>
      <c r="E150" s="3">
        <v>1000</v>
      </c>
      <c r="F150" s="3">
        <v>310</v>
      </c>
      <c r="G150" s="3">
        <v>62</v>
      </c>
      <c r="H150" s="3">
        <v>1975</v>
      </c>
      <c r="I150" s="3" t="s">
        <v>608</v>
      </c>
      <c r="J150" s="4">
        <v>2011</v>
      </c>
      <c r="K150" s="7" t="s">
        <v>416</v>
      </c>
      <c r="L150" s="34"/>
    </row>
    <row r="151" spans="1:12" s="11" customFormat="1" ht="15" customHeight="1">
      <c r="A151" s="6">
        <v>28</v>
      </c>
      <c r="B151" s="8" t="s">
        <v>569</v>
      </c>
      <c r="C151" s="3">
        <v>14339</v>
      </c>
      <c r="D151" s="3" t="s">
        <v>570</v>
      </c>
      <c r="E151" s="3">
        <v>1000</v>
      </c>
      <c r="F151" s="3">
        <v>310</v>
      </c>
      <c r="G151" s="3">
        <v>62</v>
      </c>
      <c r="H151" s="3">
        <v>1975</v>
      </c>
      <c r="I151" s="3" t="s">
        <v>608</v>
      </c>
      <c r="J151" s="4">
        <v>2011</v>
      </c>
      <c r="K151" s="7" t="s">
        <v>416</v>
      </c>
      <c r="L151" s="34"/>
    </row>
    <row r="152" spans="1:12" s="11" customFormat="1" ht="15" customHeight="1">
      <c r="A152" s="6">
        <v>30</v>
      </c>
      <c r="B152" s="8" t="s">
        <v>571</v>
      </c>
      <c r="C152" s="3">
        <v>13661</v>
      </c>
      <c r="D152" s="3" t="s">
        <v>572</v>
      </c>
      <c r="E152" s="3">
        <v>1000</v>
      </c>
      <c r="F152" s="3">
        <v>310</v>
      </c>
      <c r="G152" s="3">
        <v>62</v>
      </c>
      <c r="H152" s="3">
        <v>1975</v>
      </c>
      <c r="I152" s="3" t="s">
        <v>608</v>
      </c>
      <c r="J152" s="4">
        <v>2011</v>
      </c>
      <c r="K152" s="7" t="s">
        <v>416</v>
      </c>
      <c r="L152" s="34"/>
    </row>
    <row r="153" spans="1:12" s="11" customFormat="1" ht="16.5">
      <c r="A153" s="177" t="s">
        <v>576</v>
      </c>
      <c r="B153" s="178"/>
      <c r="C153" s="178"/>
      <c r="D153" s="178"/>
      <c r="E153" s="179"/>
      <c r="F153" s="3"/>
      <c r="G153" s="3"/>
      <c r="H153" s="3"/>
      <c r="I153" s="3"/>
      <c r="J153" s="4"/>
      <c r="K153" s="5"/>
      <c r="L153" s="34"/>
    </row>
    <row r="154" spans="1:12" s="11" customFormat="1" ht="15" customHeight="1">
      <c r="A154" s="6">
        <v>1</v>
      </c>
      <c r="B154" s="8" t="s">
        <v>577</v>
      </c>
      <c r="C154" s="3"/>
      <c r="D154" s="3" t="s">
        <v>578</v>
      </c>
      <c r="E154" s="3"/>
      <c r="F154" s="3">
        <v>125</v>
      </c>
      <c r="G154" s="3">
        <v>50</v>
      </c>
      <c r="H154" s="3"/>
      <c r="I154" s="3" t="s">
        <v>283</v>
      </c>
      <c r="J154" s="4"/>
      <c r="K154" s="7" t="s">
        <v>416</v>
      </c>
      <c r="L154" s="34"/>
    </row>
    <row r="155" spans="1:12" s="8" customFormat="1" ht="16.5">
      <c r="A155" s="180" t="s">
        <v>580</v>
      </c>
      <c r="B155" s="180"/>
      <c r="C155" s="180"/>
      <c r="D155" s="180"/>
      <c r="E155" s="180"/>
      <c r="F155" s="3"/>
      <c r="G155" s="3"/>
      <c r="H155" s="3"/>
      <c r="I155" s="3"/>
      <c r="J155" s="4"/>
      <c r="K155" s="5"/>
      <c r="L155" s="37"/>
    </row>
    <row r="156" spans="1:12" s="8" customFormat="1" ht="15" customHeight="1">
      <c r="A156" s="6">
        <v>4</v>
      </c>
      <c r="B156" s="13" t="s">
        <v>584</v>
      </c>
      <c r="C156" s="3" t="s">
        <v>581</v>
      </c>
      <c r="D156" s="3"/>
      <c r="E156" s="3"/>
      <c r="F156" s="3"/>
      <c r="G156" s="3"/>
      <c r="H156" s="3"/>
      <c r="I156" s="3"/>
      <c r="J156" s="4"/>
      <c r="K156" s="7"/>
      <c r="L156" s="37"/>
    </row>
    <row r="157" spans="1:12" s="8" customFormat="1" ht="15" customHeight="1">
      <c r="A157" s="6"/>
      <c r="B157" s="13" t="s">
        <v>582</v>
      </c>
      <c r="C157" s="3" t="s">
        <v>618</v>
      </c>
      <c r="D157" s="3" t="s">
        <v>583</v>
      </c>
      <c r="E157" s="3" t="s">
        <v>620</v>
      </c>
      <c r="F157" s="3">
        <v>90</v>
      </c>
      <c r="G157" s="3">
        <v>18</v>
      </c>
      <c r="H157" s="3">
        <v>2018</v>
      </c>
      <c r="I157" s="3" t="s">
        <v>215</v>
      </c>
      <c r="J157" s="4">
        <v>2019</v>
      </c>
      <c r="K157" s="7" t="s">
        <v>400</v>
      </c>
      <c r="L157" s="37"/>
    </row>
    <row r="158" spans="1:12" s="8" customFormat="1" ht="15" customHeight="1">
      <c r="A158" s="6"/>
      <c r="B158" s="13" t="s">
        <v>619</v>
      </c>
      <c r="C158" s="3"/>
      <c r="D158" s="3"/>
      <c r="E158" s="3"/>
      <c r="F158" s="3"/>
      <c r="G158" s="3"/>
      <c r="H158" s="3"/>
      <c r="I158" s="3"/>
      <c r="J158" s="4"/>
      <c r="K158" s="7"/>
      <c r="L158" s="37"/>
    </row>
    <row r="159" spans="1:12" s="8" customFormat="1" ht="16.5">
      <c r="A159" s="180" t="s">
        <v>585</v>
      </c>
      <c r="B159" s="180"/>
      <c r="C159" s="180"/>
      <c r="D159" s="180"/>
      <c r="E159" s="180"/>
      <c r="F159" s="3"/>
      <c r="G159" s="3"/>
      <c r="H159" s="3"/>
      <c r="I159" s="3"/>
      <c r="J159" s="4"/>
      <c r="K159" s="5"/>
      <c r="L159" s="37"/>
    </row>
    <row r="160" spans="1:12" s="8" customFormat="1" ht="15" customHeight="1">
      <c r="A160" s="6">
        <v>2</v>
      </c>
      <c r="B160" s="8" t="s">
        <v>586</v>
      </c>
      <c r="C160" s="3" t="s">
        <v>587</v>
      </c>
      <c r="D160" s="3"/>
      <c r="E160" s="3"/>
      <c r="F160" s="3"/>
      <c r="G160" s="3"/>
      <c r="H160" s="3"/>
      <c r="I160" s="3"/>
      <c r="J160" s="4"/>
      <c r="K160" s="7"/>
      <c r="L160" s="37"/>
    </row>
    <row r="161" spans="1:12" s="8" customFormat="1" ht="15" customHeight="1">
      <c r="A161" s="6"/>
      <c r="B161" s="13" t="s">
        <v>588</v>
      </c>
      <c r="C161" s="3" t="s">
        <v>589</v>
      </c>
      <c r="D161" s="3" t="s">
        <v>590</v>
      </c>
      <c r="E161" s="3"/>
      <c r="F161" s="3">
        <v>90</v>
      </c>
      <c r="G161" s="3">
        <v>18</v>
      </c>
      <c r="H161" s="3">
        <v>1966</v>
      </c>
      <c r="I161" s="3" t="s">
        <v>215</v>
      </c>
      <c r="J161" s="4">
        <v>2011</v>
      </c>
      <c r="K161" s="7" t="s">
        <v>399</v>
      </c>
      <c r="L161" s="37"/>
    </row>
    <row r="162" spans="1:12" s="8" customFormat="1" ht="15.75" customHeight="1">
      <c r="A162" s="185" t="s">
        <v>413</v>
      </c>
      <c r="B162" s="185"/>
      <c r="C162" s="185"/>
      <c r="D162" s="185"/>
      <c r="E162" s="185"/>
      <c r="F162" s="3"/>
      <c r="G162" s="3"/>
      <c r="H162" s="3"/>
      <c r="I162" s="3"/>
      <c r="J162" s="4"/>
      <c r="K162" s="5"/>
      <c r="L162" s="37"/>
    </row>
    <row r="163" spans="1:12" s="8" customFormat="1" ht="16.5">
      <c r="A163" s="180" t="s">
        <v>591</v>
      </c>
      <c r="B163" s="180"/>
      <c r="C163" s="180"/>
      <c r="D163" s="180"/>
      <c r="E163" s="180"/>
      <c r="F163" s="9" t="s">
        <v>357</v>
      </c>
      <c r="G163" s="3">
        <f>SUM(C164:C165)</f>
        <v>500</v>
      </c>
      <c r="H163" s="10" t="s">
        <v>358</v>
      </c>
      <c r="I163" s="3"/>
      <c r="J163" s="91"/>
      <c r="K163" s="5"/>
      <c r="L163" s="37"/>
    </row>
    <row r="164" spans="1:12" s="11" customFormat="1" ht="15" customHeight="1">
      <c r="A164" s="6">
        <v>16</v>
      </c>
      <c r="B164" s="13" t="s">
        <v>596</v>
      </c>
      <c r="C164" s="3"/>
      <c r="D164" s="3">
        <v>26645</v>
      </c>
      <c r="E164" s="3"/>
      <c r="F164" s="3">
        <v>193</v>
      </c>
      <c r="G164" s="3">
        <v>58</v>
      </c>
      <c r="H164" s="3">
        <v>1958</v>
      </c>
      <c r="I164" s="3" t="s">
        <v>355</v>
      </c>
      <c r="J164" s="4">
        <v>2018</v>
      </c>
      <c r="K164" s="5" t="s">
        <v>400</v>
      </c>
      <c r="L164" s="34"/>
    </row>
    <row r="165" spans="1:12" s="11" customFormat="1" ht="15" customHeight="1">
      <c r="A165" s="6"/>
      <c r="B165" s="13" t="s">
        <v>595</v>
      </c>
      <c r="C165" s="3">
        <v>500</v>
      </c>
      <c r="D165" s="3"/>
      <c r="E165" s="3"/>
      <c r="F165" s="3"/>
      <c r="G165" s="3"/>
      <c r="H165" s="3"/>
      <c r="I165" s="3"/>
      <c r="J165" s="4"/>
      <c r="K165" s="5"/>
      <c r="L165" s="34"/>
    </row>
    <row r="166" spans="1:12" s="11" customFormat="1" ht="16.5">
      <c r="A166" s="185" t="s">
        <v>454</v>
      </c>
      <c r="B166" s="185"/>
      <c r="C166" s="185"/>
      <c r="D166" s="185"/>
      <c r="E166" s="185"/>
      <c r="F166" s="3"/>
      <c r="G166" s="3"/>
      <c r="H166" s="3"/>
      <c r="I166" s="3"/>
      <c r="J166" s="92"/>
      <c r="K166" s="5"/>
      <c r="L166" s="34"/>
    </row>
    <row r="167" spans="1:12" s="11" customFormat="1" ht="16.5">
      <c r="A167" s="180" t="s">
        <v>622</v>
      </c>
      <c r="B167" s="180"/>
      <c r="C167" s="180"/>
      <c r="D167" s="180"/>
      <c r="E167" s="180"/>
      <c r="F167" s="9" t="s">
        <v>357</v>
      </c>
      <c r="G167" s="3">
        <f>SUM(C168:C171)</f>
        <v>45</v>
      </c>
      <c r="H167" s="10" t="s">
        <v>358</v>
      </c>
      <c r="I167" s="3"/>
      <c r="J167" s="4"/>
      <c r="K167" s="5"/>
      <c r="L167" s="34"/>
    </row>
    <row r="168" spans="1:12" s="11" customFormat="1" ht="15" customHeight="1">
      <c r="A168" s="6">
        <v>2</v>
      </c>
      <c r="B168" s="8" t="s">
        <v>597</v>
      </c>
      <c r="C168" s="3"/>
      <c r="D168" s="3">
        <v>7114</v>
      </c>
      <c r="E168" s="3"/>
      <c r="F168" s="3">
        <v>11</v>
      </c>
      <c r="G168" s="3">
        <v>3</v>
      </c>
      <c r="H168" s="3">
        <v>1967</v>
      </c>
      <c r="I168" s="3" t="s">
        <v>355</v>
      </c>
      <c r="J168" s="4">
        <v>2015</v>
      </c>
      <c r="K168" s="5" t="s">
        <v>400</v>
      </c>
      <c r="L168" s="34"/>
    </row>
    <row r="169" spans="1:12" s="11" customFormat="1" ht="15" customHeight="1">
      <c r="A169" s="6"/>
      <c r="B169" s="13" t="s">
        <v>594</v>
      </c>
      <c r="C169" s="3">
        <v>30</v>
      </c>
      <c r="D169" s="3"/>
      <c r="E169" s="3"/>
      <c r="F169" s="3"/>
      <c r="G169" s="3"/>
      <c r="H169" s="3"/>
      <c r="I169" s="3"/>
      <c r="J169" s="4"/>
      <c r="K169" s="5"/>
      <c r="L169" s="34"/>
    </row>
    <row r="170" spans="1:12" s="11" customFormat="1" ht="27" customHeight="1">
      <c r="A170" s="6">
        <v>3</v>
      </c>
      <c r="B170" s="93" t="s">
        <v>598</v>
      </c>
      <c r="C170" s="3"/>
      <c r="D170" s="3">
        <v>7114</v>
      </c>
      <c r="E170" s="3"/>
      <c r="F170" s="3">
        <v>5</v>
      </c>
      <c r="G170" s="3">
        <v>2</v>
      </c>
      <c r="H170" s="3">
        <v>1967</v>
      </c>
      <c r="I170" s="3" t="s">
        <v>355</v>
      </c>
      <c r="J170" s="4">
        <v>2015</v>
      </c>
      <c r="K170" s="5" t="s">
        <v>400</v>
      </c>
      <c r="L170" s="34"/>
    </row>
    <row r="171" spans="1:12" s="11" customFormat="1" ht="15" customHeight="1">
      <c r="A171" s="6"/>
      <c r="B171" s="13" t="s">
        <v>594</v>
      </c>
      <c r="C171" s="3">
        <v>15</v>
      </c>
      <c r="D171" s="3"/>
      <c r="E171" s="3"/>
      <c r="F171" s="3"/>
      <c r="G171" s="3"/>
      <c r="H171" s="3"/>
      <c r="I171" s="3"/>
      <c r="J171" s="4"/>
      <c r="K171" s="5"/>
      <c r="L171" s="34"/>
    </row>
    <row r="172" spans="1:12" s="11" customFormat="1" ht="16.5">
      <c r="A172" s="180" t="s">
        <v>606</v>
      </c>
      <c r="B172" s="180"/>
      <c r="C172" s="180"/>
      <c r="D172" s="180"/>
      <c r="E172" s="180"/>
      <c r="F172" s="9" t="s">
        <v>357</v>
      </c>
      <c r="G172" s="3">
        <f>SUM(C173:C174)</f>
        <v>120</v>
      </c>
      <c r="H172" s="10" t="s">
        <v>358</v>
      </c>
      <c r="I172" s="3"/>
      <c r="J172" s="4"/>
      <c r="K172" s="5"/>
      <c r="L172" s="34"/>
    </row>
    <row r="173" spans="1:12" s="11" customFormat="1" ht="15" customHeight="1">
      <c r="A173" s="6">
        <v>15</v>
      </c>
      <c r="B173" s="13" t="s">
        <v>610</v>
      </c>
      <c r="C173" s="3"/>
      <c r="D173" s="3">
        <v>3473</v>
      </c>
      <c r="E173" s="3"/>
      <c r="F173" s="3">
        <v>32</v>
      </c>
      <c r="G173" s="3">
        <v>10</v>
      </c>
      <c r="H173" s="3">
        <v>1971</v>
      </c>
      <c r="I173" s="3" t="s">
        <v>355</v>
      </c>
      <c r="J173" s="4">
        <v>2019</v>
      </c>
      <c r="K173" s="5" t="s">
        <v>400</v>
      </c>
      <c r="L173" s="34"/>
    </row>
    <row r="174" spans="1:12" s="11" customFormat="1" ht="15" customHeight="1">
      <c r="A174" s="6"/>
      <c r="B174" s="13" t="s">
        <v>601</v>
      </c>
      <c r="C174" s="3">
        <v>120</v>
      </c>
      <c r="D174" s="3"/>
      <c r="E174" s="3"/>
      <c r="F174" s="3"/>
      <c r="G174" s="3"/>
      <c r="H174" s="3"/>
      <c r="I174" s="3"/>
      <c r="J174" s="4"/>
      <c r="K174" s="5"/>
      <c r="L174" s="34"/>
    </row>
    <row r="175" spans="1:12" s="11" customFormat="1" ht="16.5">
      <c r="A175" s="180" t="s">
        <v>611</v>
      </c>
      <c r="B175" s="180"/>
      <c r="C175" s="180"/>
      <c r="D175" s="180"/>
      <c r="E175" s="180"/>
      <c r="F175" s="9" t="s">
        <v>357</v>
      </c>
      <c r="G175" s="3">
        <f>SUM(C176:C177)</f>
        <v>800</v>
      </c>
      <c r="H175" s="10" t="s">
        <v>358</v>
      </c>
      <c r="I175" s="3"/>
      <c r="J175" s="4"/>
      <c r="K175" s="5"/>
      <c r="L175" s="34"/>
    </row>
    <row r="176" spans="1:12" s="11" customFormat="1" ht="15" customHeight="1">
      <c r="A176" s="6">
        <v>2</v>
      </c>
      <c r="B176" s="13" t="s">
        <v>310</v>
      </c>
      <c r="C176" s="3"/>
      <c r="D176" s="3">
        <v>30358</v>
      </c>
      <c r="E176" s="3"/>
      <c r="F176" s="3">
        <v>216</v>
      </c>
      <c r="G176" s="3">
        <v>65</v>
      </c>
      <c r="H176" s="3">
        <v>1993</v>
      </c>
      <c r="I176" s="3" t="s">
        <v>355</v>
      </c>
      <c r="J176" s="4">
        <v>2017</v>
      </c>
      <c r="K176" s="5" t="s">
        <v>400</v>
      </c>
      <c r="L176" s="34"/>
    </row>
    <row r="177" spans="1:12" s="11" customFormat="1" ht="15" customHeight="1">
      <c r="A177" s="6"/>
      <c r="B177" s="13" t="s">
        <v>601</v>
      </c>
      <c r="C177" s="3">
        <v>800</v>
      </c>
      <c r="D177" s="3"/>
      <c r="E177" s="3"/>
      <c r="F177" s="3"/>
      <c r="G177" s="3"/>
      <c r="H177" s="3"/>
      <c r="I177" s="3"/>
      <c r="J177" s="4"/>
      <c r="K177" s="5"/>
      <c r="L177" s="34"/>
    </row>
    <row r="178" spans="1:12" s="11" customFormat="1" ht="16.5">
      <c r="A178" s="177" t="s">
        <v>612</v>
      </c>
      <c r="B178" s="178"/>
      <c r="C178" s="178"/>
      <c r="D178" s="178"/>
      <c r="E178" s="179"/>
      <c r="F178" s="9" t="s">
        <v>357</v>
      </c>
      <c r="G178" s="3">
        <f>SUM(C179:C181)</f>
        <v>330</v>
      </c>
      <c r="H178" s="10" t="s">
        <v>358</v>
      </c>
      <c r="I178" s="3"/>
      <c r="J178" s="4"/>
      <c r="K178" s="5"/>
      <c r="L178" s="34"/>
    </row>
    <row r="179" spans="1:12" s="11" customFormat="1" ht="15" customHeight="1">
      <c r="A179" s="6">
        <v>3</v>
      </c>
      <c r="B179" s="8" t="s">
        <v>613</v>
      </c>
      <c r="C179" s="3"/>
      <c r="D179" s="3">
        <v>78195</v>
      </c>
      <c r="E179" s="3"/>
      <c r="F179" s="3">
        <v>274.5</v>
      </c>
      <c r="G179" s="3">
        <v>72.6</v>
      </c>
      <c r="H179" s="3">
        <v>1996</v>
      </c>
      <c r="I179" s="3" t="s">
        <v>284</v>
      </c>
      <c r="J179" s="4">
        <v>2016</v>
      </c>
      <c r="K179" s="5" t="s">
        <v>400</v>
      </c>
      <c r="L179" s="34"/>
    </row>
    <row r="180" spans="1:12" s="11" customFormat="1" ht="15" customHeight="1">
      <c r="A180" s="6"/>
      <c r="B180" s="13" t="s">
        <v>614</v>
      </c>
      <c r="C180" s="3"/>
      <c r="E180" s="3"/>
      <c r="I180" s="3"/>
      <c r="J180" s="4"/>
      <c r="K180" s="5"/>
      <c r="L180" s="34"/>
    </row>
    <row r="181" spans="1:12" s="11" customFormat="1" ht="15" customHeight="1">
      <c r="A181" s="6"/>
      <c r="B181" s="13" t="s">
        <v>615</v>
      </c>
      <c r="C181" s="3">
        <v>330</v>
      </c>
      <c r="D181" s="3"/>
      <c r="E181" s="3"/>
      <c r="F181" s="3"/>
      <c r="G181" s="3"/>
      <c r="H181" s="3"/>
      <c r="I181" s="3"/>
      <c r="J181" s="4"/>
      <c r="K181" s="5"/>
      <c r="L181" s="34"/>
    </row>
    <row r="182" spans="1:12" s="8" customFormat="1" ht="16.5">
      <c r="A182" s="177" t="s">
        <v>638</v>
      </c>
      <c r="B182" s="178"/>
      <c r="C182" s="178"/>
      <c r="D182" s="178"/>
      <c r="E182" s="179"/>
      <c r="F182" s="9"/>
      <c r="G182" s="3"/>
      <c r="H182" s="10"/>
      <c r="I182" s="3"/>
      <c r="J182" s="4"/>
      <c r="K182" s="5"/>
      <c r="L182" s="37"/>
    </row>
    <row r="183" spans="1:245" ht="15" customHeight="1">
      <c r="A183" s="6">
        <v>1</v>
      </c>
      <c r="B183" s="12" t="s">
        <v>281</v>
      </c>
      <c r="C183" s="3"/>
      <c r="D183" s="3">
        <v>26645</v>
      </c>
      <c r="E183" s="3"/>
      <c r="F183" s="3">
        <v>118</v>
      </c>
      <c r="G183" s="3">
        <v>37</v>
      </c>
      <c r="H183" s="3">
        <v>1966</v>
      </c>
      <c r="I183" s="3" t="s">
        <v>355</v>
      </c>
      <c r="J183" s="4">
        <v>2014</v>
      </c>
      <c r="K183" s="5" t="s">
        <v>400</v>
      </c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</row>
    <row r="184" spans="1:245" ht="15" customHeight="1">
      <c r="A184" s="6"/>
      <c r="B184" s="12" t="s">
        <v>592</v>
      </c>
      <c r="C184" s="3">
        <v>286</v>
      </c>
      <c r="D184" s="11"/>
      <c r="E184" s="11"/>
      <c r="F184" s="11"/>
      <c r="G184" s="11"/>
      <c r="H184" s="11"/>
      <c r="I184" s="11"/>
      <c r="J184" s="11"/>
      <c r="K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</row>
    <row r="185" spans="1:245" ht="27.75">
      <c r="A185" s="6">
        <v>2</v>
      </c>
      <c r="B185" s="12" t="s">
        <v>282</v>
      </c>
      <c r="C185" s="3"/>
      <c r="D185" s="3">
        <v>26645</v>
      </c>
      <c r="E185" s="3"/>
      <c r="F185" s="3">
        <v>39</v>
      </c>
      <c r="G185" s="3">
        <v>12</v>
      </c>
      <c r="H185" s="3">
        <v>1966</v>
      </c>
      <c r="I185" s="3" t="s">
        <v>284</v>
      </c>
      <c r="J185" s="4">
        <v>2006</v>
      </c>
      <c r="K185" s="5" t="s">
        <v>400</v>
      </c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</row>
    <row r="186" spans="1:245" ht="15" customHeight="1">
      <c r="A186" s="6"/>
      <c r="B186" s="12" t="s">
        <v>594</v>
      </c>
      <c r="C186" s="3">
        <v>120</v>
      </c>
      <c r="D186" s="11"/>
      <c r="E186" s="11"/>
      <c r="F186" s="11"/>
      <c r="G186" s="11"/>
      <c r="H186" s="11"/>
      <c r="I186" s="11"/>
      <c r="J186" s="11"/>
      <c r="K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</row>
    <row r="187" spans="1:245" ht="15" customHeight="1">
      <c r="A187" s="6">
        <v>31</v>
      </c>
      <c r="B187" s="12" t="s">
        <v>287</v>
      </c>
      <c r="C187" s="3"/>
      <c r="D187" s="3">
        <v>30359</v>
      </c>
      <c r="E187" s="3"/>
      <c r="F187" s="3">
        <v>368</v>
      </c>
      <c r="G187" s="3">
        <v>106</v>
      </c>
      <c r="H187" s="3">
        <v>1975</v>
      </c>
      <c r="I187" s="3" t="s">
        <v>355</v>
      </c>
      <c r="J187" s="4">
        <v>2011</v>
      </c>
      <c r="K187" s="5" t="s">
        <v>400</v>
      </c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</row>
    <row r="188" spans="1:245" ht="15" customHeight="1">
      <c r="A188" s="6"/>
      <c r="B188" s="12" t="s">
        <v>603</v>
      </c>
      <c r="C188" s="3">
        <v>645</v>
      </c>
      <c r="D188" s="3"/>
      <c r="E188" s="3"/>
      <c r="F188" s="3"/>
      <c r="G188" s="3"/>
      <c r="H188" s="3"/>
      <c r="I188" s="3"/>
      <c r="J188" s="4"/>
      <c r="K188" s="5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</row>
    <row r="189" spans="1:245" ht="30" customHeight="1">
      <c r="A189" s="6">
        <v>32</v>
      </c>
      <c r="B189" s="12" t="s">
        <v>289</v>
      </c>
      <c r="C189" s="3"/>
      <c r="D189" s="3">
        <v>30359</v>
      </c>
      <c r="E189" s="3"/>
      <c r="F189" s="3">
        <v>63</v>
      </c>
      <c r="G189" s="3">
        <v>20</v>
      </c>
      <c r="H189" s="3">
        <v>1975</v>
      </c>
      <c r="I189" s="3" t="s">
        <v>284</v>
      </c>
      <c r="J189" s="4">
        <v>2015</v>
      </c>
      <c r="K189" s="5" t="s">
        <v>400</v>
      </c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</row>
    <row r="190" spans="1:245" ht="15" customHeight="1">
      <c r="A190" s="6"/>
      <c r="B190" s="12" t="s">
        <v>602</v>
      </c>
      <c r="C190" s="3">
        <v>200</v>
      </c>
      <c r="D190" s="3"/>
      <c r="E190" s="3"/>
      <c r="F190" s="3"/>
      <c r="G190" s="3"/>
      <c r="H190" s="3"/>
      <c r="I190" s="3"/>
      <c r="J190" s="4"/>
      <c r="K190" s="5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</row>
    <row r="191" spans="1:245" ht="15" customHeight="1">
      <c r="A191" s="6">
        <v>33</v>
      </c>
      <c r="B191" s="12" t="s">
        <v>290</v>
      </c>
      <c r="C191" s="3"/>
      <c r="D191" s="3">
        <v>17243</v>
      </c>
      <c r="E191" s="3"/>
      <c r="F191" s="3">
        <v>39</v>
      </c>
      <c r="G191" s="3">
        <v>12</v>
      </c>
      <c r="H191" s="3">
        <v>1965</v>
      </c>
      <c r="I191" s="3" t="s">
        <v>355</v>
      </c>
      <c r="J191" s="4">
        <v>2013</v>
      </c>
      <c r="K191" s="5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</row>
    <row r="192" spans="1:245" ht="15" customHeight="1">
      <c r="A192" s="6"/>
      <c r="B192" s="12" t="s">
        <v>604</v>
      </c>
      <c r="C192" s="3">
        <v>145</v>
      </c>
      <c r="D192" s="3"/>
      <c r="E192" s="3"/>
      <c r="F192" s="3"/>
      <c r="G192" s="3"/>
      <c r="H192" s="3"/>
      <c r="I192" s="3"/>
      <c r="J192" s="4"/>
      <c r="K192" s="5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</row>
    <row r="193" spans="1:245" ht="15" customHeight="1">
      <c r="A193" s="6">
        <v>34</v>
      </c>
      <c r="B193" s="12" t="s">
        <v>292</v>
      </c>
      <c r="C193" s="3"/>
      <c r="D193" s="3">
        <v>3473</v>
      </c>
      <c r="E193" s="3"/>
      <c r="F193" s="3">
        <v>32</v>
      </c>
      <c r="G193" s="3">
        <v>10</v>
      </c>
      <c r="H193" s="3">
        <v>1971</v>
      </c>
      <c r="I193" s="3" t="s">
        <v>355</v>
      </c>
      <c r="J193" s="4">
        <v>2019</v>
      </c>
      <c r="K193" s="5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</row>
    <row r="194" spans="1:245" ht="15" customHeight="1">
      <c r="A194" s="6"/>
      <c r="B194" s="12" t="s">
        <v>601</v>
      </c>
      <c r="C194" s="3">
        <v>120</v>
      </c>
      <c r="D194" s="3"/>
      <c r="E194" s="3"/>
      <c r="F194" s="3"/>
      <c r="G194" s="3"/>
      <c r="H194" s="3"/>
      <c r="I194" s="3"/>
      <c r="J194" s="4"/>
      <c r="K194" s="5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</row>
    <row r="195" spans="1:245" ht="15" customHeight="1">
      <c r="A195" s="6">
        <v>35</v>
      </c>
      <c r="B195" s="12" t="s">
        <v>291</v>
      </c>
      <c r="C195" s="3"/>
      <c r="D195" s="3">
        <v>3473</v>
      </c>
      <c r="E195" s="3"/>
      <c r="F195" s="3">
        <v>32</v>
      </c>
      <c r="G195" s="3">
        <v>10</v>
      </c>
      <c r="H195" s="3">
        <v>1971</v>
      </c>
      <c r="I195" s="3" t="s">
        <v>355</v>
      </c>
      <c r="J195" s="4">
        <v>2019</v>
      </c>
      <c r="K195" s="5" t="s">
        <v>400</v>
      </c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</row>
    <row r="196" spans="1:245" ht="15" customHeight="1">
      <c r="A196" s="6"/>
      <c r="B196" s="12" t="s">
        <v>601</v>
      </c>
      <c r="C196" s="3">
        <v>120</v>
      </c>
      <c r="D196" s="3"/>
      <c r="E196" s="3"/>
      <c r="F196" s="3"/>
      <c r="G196" s="3"/>
      <c r="H196" s="3"/>
      <c r="I196" s="3"/>
      <c r="J196" s="4"/>
      <c r="K196" s="5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</row>
    <row r="197" spans="1:245" ht="29.25" customHeight="1">
      <c r="A197" s="6">
        <v>36</v>
      </c>
      <c r="B197" s="12" t="s">
        <v>293</v>
      </c>
      <c r="C197" s="3"/>
      <c r="D197" s="3">
        <v>30359</v>
      </c>
      <c r="E197" s="3"/>
      <c r="F197" s="3">
        <v>27</v>
      </c>
      <c r="G197" s="3">
        <v>7</v>
      </c>
      <c r="H197" s="3">
        <v>1975</v>
      </c>
      <c r="I197" s="3" t="s">
        <v>284</v>
      </c>
      <c r="J197" s="4">
        <v>2015</v>
      </c>
      <c r="K197" s="20" t="s">
        <v>400</v>
      </c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</row>
    <row r="198" spans="1:245" ht="15" customHeight="1">
      <c r="A198" s="6"/>
      <c r="B198" s="12" t="s">
        <v>600</v>
      </c>
      <c r="C198" s="3">
        <v>70</v>
      </c>
      <c r="D198" s="3"/>
      <c r="E198" s="3"/>
      <c r="F198" s="3"/>
      <c r="G198" s="3"/>
      <c r="H198" s="3"/>
      <c r="I198" s="3"/>
      <c r="J198" s="4"/>
      <c r="K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</row>
    <row r="199" spans="1:245" s="123" customFormat="1" ht="41.25" customHeight="1">
      <c r="A199" s="181" t="s">
        <v>639</v>
      </c>
      <c r="B199" s="182"/>
      <c r="C199" s="182"/>
      <c r="D199" s="182"/>
      <c r="E199" s="183"/>
      <c r="F199" s="10" t="s">
        <v>357</v>
      </c>
      <c r="G199" s="10">
        <f>SUM(C200:C223)</f>
        <v>1960</v>
      </c>
      <c r="H199" s="10" t="s">
        <v>358</v>
      </c>
      <c r="I199" s="10"/>
      <c r="J199" s="10"/>
      <c r="K199" s="121"/>
      <c r="L199" s="122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</row>
    <row r="200" spans="1:245" ht="15" customHeight="1">
      <c r="A200" s="6">
        <v>4</v>
      </c>
      <c r="B200" s="12" t="s">
        <v>297</v>
      </c>
      <c r="C200" s="3"/>
      <c r="D200" s="3">
        <v>30200</v>
      </c>
      <c r="E200" s="3"/>
      <c r="F200" s="3">
        <v>120</v>
      </c>
      <c r="G200" s="3">
        <v>38</v>
      </c>
      <c r="H200" s="3">
        <v>1968</v>
      </c>
      <c r="I200" s="3" t="s">
        <v>355</v>
      </c>
      <c r="J200" s="4">
        <v>2016</v>
      </c>
      <c r="K200" s="5" t="s">
        <v>400</v>
      </c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</row>
    <row r="201" spans="1:245" ht="15" customHeight="1">
      <c r="A201" s="6"/>
      <c r="B201" s="12" t="s">
        <v>592</v>
      </c>
      <c r="C201" s="3">
        <v>275</v>
      </c>
      <c r="D201" s="3"/>
      <c r="E201" s="3"/>
      <c r="F201" s="3"/>
      <c r="G201" s="3"/>
      <c r="H201" s="3"/>
      <c r="I201" s="3"/>
      <c r="J201" s="4"/>
      <c r="K201" s="5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</row>
    <row r="202" spans="1:245" ht="16.5" customHeight="1">
      <c r="A202" s="6">
        <v>5</v>
      </c>
      <c r="B202" s="12" t="s">
        <v>298</v>
      </c>
      <c r="C202" s="3"/>
      <c r="D202" s="3">
        <v>30200</v>
      </c>
      <c r="E202" s="3"/>
      <c r="F202" s="3">
        <v>13</v>
      </c>
      <c r="G202" s="3">
        <v>4</v>
      </c>
      <c r="H202" s="3">
        <v>1968</v>
      </c>
      <c r="I202" s="3" t="s">
        <v>355</v>
      </c>
      <c r="J202" s="4">
        <v>2016</v>
      </c>
      <c r="K202" s="5" t="s">
        <v>400</v>
      </c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</row>
    <row r="203" spans="1:245" ht="15" customHeight="1">
      <c r="A203" s="6"/>
      <c r="B203" s="12" t="s">
        <v>592</v>
      </c>
      <c r="C203" s="3">
        <v>30</v>
      </c>
      <c r="D203" s="3"/>
      <c r="E203" s="3"/>
      <c r="F203" s="3"/>
      <c r="G203" s="3"/>
      <c r="H203" s="3"/>
      <c r="I203" s="3"/>
      <c r="J203" s="4"/>
      <c r="K203" s="5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</row>
    <row r="204" spans="1:245" ht="30.75" customHeight="1">
      <c r="A204" s="6">
        <v>6</v>
      </c>
      <c r="B204" s="12" t="s">
        <v>299</v>
      </c>
      <c r="C204" s="3"/>
      <c r="D204" s="3">
        <v>30200</v>
      </c>
      <c r="E204" s="3"/>
      <c r="F204" s="3">
        <v>14</v>
      </c>
      <c r="G204" s="3">
        <v>5</v>
      </c>
      <c r="H204" s="3">
        <v>1967</v>
      </c>
      <c r="I204" s="3" t="s">
        <v>355</v>
      </c>
      <c r="J204" s="4">
        <v>2015</v>
      </c>
      <c r="K204" s="5" t="s">
        <v>400</v>
      </c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</row>
    <row r="205" spans="1:245" ht="15" customHeight="1">
      <c r="A205" s="6"/>
      <c r="B205" s="12" t="s">
        <v>594</v>
      </c>
      <c r="C205" s="3">
        <v>45</v>
      </c>
      <c r="D205" s="3"/>
      <c r="E205" s="3"/>
      <c r="F205" s="3"/>
      <c r="G205" s="3"/>
      <c r="H205" s="3"/>
      <c r="I205" s="3"/>
      <c r="J205" s="4"/>
      <c r="K205" s="5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</row>
    <row r="206" spans="1:245" ht="18" customHeight="1">
      <c r="A206" s="6">
        <v>7</v>
      </c>
      <c r="B206" s="12" t="s">
        <v>300</v>
      </c>
      <c r="C206" s="3"/>
      <c r="D206" s="3">
        <v>30200</v>
      </c>
      <c r="E206" s="3"/>
      <c r="F206" s="3">
        <v>25</v>
      </c>
      <c r="G206" s="3">
        <v>8</v>
      </c>
      <c r="H206" s="3">
        <v>1969</v>
      </c>
      <c r="I206" s="3" t="s">
        <v>355</v>
      </c>
      <c r="J206" s="4">
        <v>2017</v>
      </c>
      <c r="K206" s="5" t="s">
        <v>400</v>
      </c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</row>
    <row r="207" spans="1:245" ht="15" customHeight="1">
      <c r="A207" s="6"/>
      <c r="B207" s="12" t="s">
        <v>600</v>
      </c>
      <c r="C207" s="3">
        <v>110</v>
      </c>
      <c r="D207" s="3"/>
      <c r="E207" s="3"/>
      <c r="F207" s="3"/>
      <c r="G207" s="3"/>
      <c r="H207" s="3"/>
      <c r="I207" s="3"/>
      <c r="J207" s="4"/>
      <c r="K207" s="5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</row>
    <row r="208" spans="1:245" ht="15" customHeight="1">
      <c r="A208" s="6">
        <v>17</v>
      </c>
      <c r="B208" s="8" t="s">
        <v>302</v>
      </c>
      <c r="C208" s="3"/>
      <c r="D208" s="3">
        <v>17243</v>
      </c>
      <c r="E208" s="3"/>
      <c r="F208" s="3">
        <v>52</v>
      </c>
      <c r="G208" s="3">
        <v>16</v>
      </c>
      <c r="H208" s="3">
        <v>1962</v>
      </c>
      <c r="I208" s="3" t="s">
        <v>355</v>
      </c>
      <c r="J208" s="4">
        <v>2010</v>
      </c>
      <c r="K208" s="5" t="s">
        <v>400</v>
      </c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</row>
    <row r="209" spans="1:245" ht="15" customHeight="1">
      <c r="A209" s="6"/>
      <c r="B209" s="8" t="s">
        <v>593</v>
      </c>
      <c r="C209" s="3">
        <v>230</v>
      </c>
      <c r="D209" s="3"/>
      <c r="E209" s="3"/>
      <c r="F209" s="3"/>
      <c r="G209" s="3"/>
      <c r="H209" s="3"/>
      <c r="I209" s="3"/>
      <c r="J209" s="4"/>
      <c r="K209" s="5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</row>
    <row r="210" spans="1:245" ht="15" customHeight="1">
      <c r="A210" s="6">
        <v>18</v>
      </c>
      <c r="B210" s="8" t="s">
        <v>303</v>
      </c>
      <c r="C210" s="3"/>
      <c r="D210" s="3">
        <v>17243</v>
      </c>
      <c r="E210" s="3"/>
      <c r="F210" s="3">
        <v>2</v>
      </c>
      <c r="G210" s="3">
        <v>1</v>
      </c>
      <c r="H210" s="3">
        <v>1962</v>
      </c>
      <c r="I210" s="3" t="s">
        <v>355</v>
      </c>
      <c r="J210" s="4">
        <v>2010</v>
      </c>
      <c r="K210" s="5" t="s">
        <v>400</v>
      </c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</row>
    <row r="211" spans="1:245" ht="15" customHeight="1">
      <c r="A211" s="6"/>
      <c r="B211" s="8" t="s">
        <v>593</v>
      </c>
      <c r="C211" s="3">
        <v>10</v>
      </c>
      <c r="D211" s="3"/>
      <c r="E211" s="3"/>
      <c r="F211" s="3"/>
      <c r="G211" s="3"/>
      <c r="H211" s="3"/>
      <c r="I211" s="3"/>
      <c r="J211" s="4"/>
      <c r="K211" s="5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</row>
    <row r="212" spans="1:245" ht="15" customHeight="1">
      <c r="A212" s="6">
        <v>19</v>
      </c>
      <c r="B212" s="8" t="s">
        <v>304</v>
      </c>
      <c r="C212" s="3"/>
      <c r="D212" s="3">
        <v>17243</v>
      </c>
      <c r="E212" s="3"/>
      <c r="F212" s="3">
        <v>2</v>
      </c>
      <c r="G212" s="3">
        <v>1</v>
      </c>
      <c r="H212" s="3">
        <v>1962</v>
      </c>
      <c r="I212" s="3" t="s">
        <v>355</v>
      </c>
      <c r="J212" s="4">
        <v>2010</v>
      </c>
      <c r="K212" s="5" t="s">
        <v>400</v>
      </c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</row>
    <row r="213" spans="1:245" ht="15" customHeight="1">
      <c r="A213" s="6"/>
      <c r="B213" s="8" t="s">
        <v>593</v>
      </c>
      <c r="C213" s="3">
        <v>10</v>
      </c>
      <c r="D213" s="3"/>
      <c r="E213" s="3"/>
      <c r="F213" s="3"/>
      <c r="G213" s="3"/>
      <c r="H213" s="3"/>
      <c r="I213" s="3"/>
      <c r="J213" s="4"/>
      <c r="K213" s="5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</row>
    <row r="214" spans="1:245" ht="15" customHeight="1">
      <c r="A214" s="6">
        <v>21</v>
      </c>
      <c r="B214" s="8" t="s">
        <v>305</v>
      </c>
      <c r="C214" s="3"/>
      <c r="D214" s="3">
        <v>17243</v>
      </c>
      <c r="E214" s="3"/>
      <c r="F214" s="3">
        <v>81</v>
      </c>
      <c r="G214" s="3">
        <v>25</v>
      </c>
      <c r="H214" s="3">
        <v>1962</v>
      </c>
      <c r="I214" s="3" t="s">
        <v>355</v>
      </c>
      <c r="J214" s="4">
        <v>2010</v>
      </c>
      <c r="K214" s="5" t="s">
        <v>400</v>
      </c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</row>
    <row r="215" spans="1:245" ht="15" customHeight="1">
      <c r="A215" s="6"/>
      <c r="B215" s="8" t="s">
        <v>593</v>
      </c>
      <c r="C215" s="3">
        <v>360</v>
      </c>
      <c r="D215" s="3"/>
      <c r="E215" s="3"/>
      <c r="F215" s="3"/>
      <c r="G215" s="3"/>
      <c r="H215" s="3"/>
      <c r="I215" s="3"/>
      <c r="J215" s="4"/>
      <c r="K215" s="5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</row>
    <row r="216" spans="1:245" ht="15" customHeight="1">
      <c r="A216" s="6">
        <v>22</v>
      </c>
      <c r="B216" s="8" t="s">
        <v>306</v>
      </c>
      <c r="C216" s="3"/>
      <c r="D216" s="3">
        <v>17243</v>
      </c>
      <c r="E216" s="3"/>
      <c r="F216" s="3">
        <v>2</v>
      </c>
      <c r="G216" s="3">
        <v>1</v>
      </c>
      <c r="H216" s="3">
        <v>1962</v>
      </c>
      <c r="I216" s="3" t="s">
        <v>355</v>
      </c>
      <c r="J216" s="4">
        <v>2010</v>
      </c>
      <c r="K216" s="5" t="s">
        <v>400</v>
      </c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</row>
    <row r="217" spans="1:245" ht="15" customHeight="1">
      <c r="A217" s="6"/>
      <c r="B217" s="8" t="s">
        <v>593</v>
      </c>
      <c r="C217" s="3">
        <v>10</v>
      </c>
      <c r="D217" s="3"/>
      <c r="E217" s="3"/>
      <c r="F217" s="3"/>
      <c r="G217" s="3"/>
      <c r="H217" s="3"/>
      <c r="I217" s="3"/>
      <c r="J217" s="4"/>
      <c r="K217" s="5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</row>
    <row r="218" spans="1:245" ht="15" customHeight="1">
      <c r="A218" s="6">
        <v>39</v>
      </c>
      <c r="B218" s="12" t="s">
        <v>301</v>
      </c>
      <c r="C218" s="3"/>
      <c r="D218" s="3">
        <v>30200</v>
      </c>
      <c r="E218" s="3"/>
      <c r="F218" s="3">
        <v>139</v>
      </c>
      <c r="G218" s="3">
        <v>42</v>
      </c>
      <c r="H218" s="3">
        <v>1992</v>
      </c>
      <c r="I218" s="3" t="s">
        <v>355</v>
      </c>
      <c r="J218" s="4">
        <v>2016</v>
      </c>
      <c r="K218" s="5" t="s">
        <v>400</v>
      </c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</row>
    <row r="219" spans="1:245" ht="15" customHeight="1">
      <c r="A219" s="6"/>
      <c r="B219" s="12" t="s">
        <v>605</v>
      </c>
      <c r="C219" s="3">
        <v>280</v>
      </c>
      <c r="D219" s="3"/>
      <c r="E219" s="3"/>
      <c r="F219" s="3"/>
      <c r="G219" s="3"/>
      <c r="H219" s="3"/>
      <c r="I219" s="3"/>
      <c r="J219" s="4"/>
      <c r="K219" s="5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</row>
    <row r="220" spans="1:245" ht="15" customHeight="1">
      <c r="A220" s="6">
        <v>44</v>
      </c>
      <c r="B220" s="11" t="s">
        <v>633</v>
      </c>
      <c r="C220" s="3"/>
      <c r="D220" s="3">
        <v>30200</v>
      </c>
      <c r="E220" s="3"/>
      <c r="F220" s="3">
        <v>22</v>
      </c>
      <c r="G220" s="3">
        <v>6</v>
      </c>
      <c r="H220" s="3">
        <v>2020</v>
      </c>
      <c r="I220" s="3" t="s">
        <v>355</v>
      </c>
      <c r="J220" s="4" t="s">
        <v>443</v>
      </c>
      <c r="K220" s="5" t="s">
        <v>400</v>
      </c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</row>
    <row r="221" spans="1:245" ht="15" customHeight="1">
      <c r="A221" s="6"/>
      <c r="B221" s="13" t="s">
        <v>592</v>
      </c>
      <c r="C221" s="3">
        <v>300</v>
      </c>
      <c r="D221" s="11"/>
      <c r="E221" s="11"/>
      <c r="F221" s="11"/>
      <c r="G221" s="11"/>
      <c r="H221" s="11"/>
      <c r="I221" s="11"/>
      <c r="J221" s="11"/>
      <c r="K221" s="5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</row>
    <row r="222" spans="1:245" ht="15" customHeight="1">
      <c r="A222" s="131">
        <v>45</v>
      </c>
      <c r="B222" s="136" t="s">
        <v>634</v>
      </c>
      <c r="C222" s="129"/>
      <c r="D222" s="129">
        <v>30200</v>
      </c>
      <c r="E222" s="129"/>
      <c r="F222" s="129">
        <v>39</v>
      </c>
      <c r="G222" s="129">
        <v>12</v>
      </c>
      <c r="H222" s="129">
        <v>2020</v>
      </c>
      <c r="I222" s="129" t="s">
        <v>355</v>
      </c>
      <c r="J222" s="130" t="s">
        <v>443</v>
      </c>
      <c r="K222" s="5" t="s">
        <v>400</v>
      </c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</row>
    <row r="223" spans="1:245" ht="15" customHeight="1">
      <c r="A223" s="131"/>
      <c r="B223" s="136" t="s">
        <v>592</v>
      </c>
      <c r="C223" s="129">
        <v>300</v>
      </c>
      <c r="D223" s="129"/>
      <c r="E223" s="129"/>
      <c r="F223" s="129"/>
      <c r="G223" s="129"/>
      <c r="H223" s="129"/>
      <c r="I223" s="129"/>
      <c r="J223" s="130"/>
      <c r="K223" s="137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</row>
    <row r="224" spans="1:245" ht="16.5">
      <c r="A224" s="177" t="s">
        <v>307</v>
      </c>
      <c r="B224" s="178"/>
      <c r="C224" s="178"/>
      <c r="D224" s="178"/>
      <c r="E224" s="179"/>
      <c r="F224" s="9" t="s">
        <v>357</v>
      </c>
      <c r="G224" s="3">
        <f>SUM(C225:C226)</f>
        <v>290</v>
      </c>
      <c r="H224" s="10" t="s">
        <v>358</v>
      </c>
      <c r="I224" s="3"/>
      <c r="J224" s="4"/>
      <c r="K224" s="5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</row>
    <row r="225" spans="1:245" ht="15" customHeight="1">
      <c r="A225" s="6">
        <v>1</v>
      </c>
      <c r="B225" s="8" t="s">
        <v>294</v>
      </c>
      <c r="C225" s="3"/>
      <c r="D225" s="3">
        <v>7114</v>
      </c>
      <c r="E225" s="3"/>
      <c r="F225" s="3">
        <v>93</v>
      </c>
      <c r="G225" s="3">
        <v>28</v>
      </c>
      <c r="H225" s="3">
        <v>1967</v>
      </c>
      <c r="I225" s="3" t="s">
        <v>355</v>
      </c>
      <c r="J225" s="4">
        <v>2015</v>
      </c>
      <c r="K225" s="5" t="s">
        <v>400</v>
      </c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</row>
    <row r="226" spans="1:245" ht="15" customHeight="1">
      <c r="A226" s="6"/>
      <c r="B226" s="8" t="s">
        <v>592</v>
      </c>
      <c r="C226" s="3">
        <v>290</v>
      </c>
      <c r="D226" s="3"/>
      <c r="E226" s="3"/>
      <c r="F226" s="3"/>
      <c r="G226" s="3"/>
      <c r="H226" s="3"/>
      <c r="I226" s="3"/>
      <c r="J226" s="4"/>
      <c r="K226" s="5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</row>
    <row r="227" spans="1:12" s="11" customFormat="1" ht="22.5" customHeight="1">
      <c r="A227" s="184" t="s">
        <v>616</v>
      </c>
      <c r="B227" s="184"/>
      <c r="C227" s="184"/>
      <c r="D227" s="184"/>
      <c r="E227" s="184"/>
      <c r="F227" s="9" t="s">
        <v>357</v>
      </c>
      <c r="G227" s="3">
        <f>SUM(C228:C231)</f>
        <v>530</v>
      </c>
      <c r="H227" s="10" t="s">
        <v>358</v>
      </c>
      <c r="I227" s="3"/>
      <c r="J227" s="4"/>
      <c r="K227" s="5"/>
      <c r="L227" s="34"/>
    </row>
    <row r="228" spans="1:12" s="11" customFormat="1" ht="15" customHeight="1">
      <c r="A228" s="6">
        <v>9</v>
      </c>
      <c r="B228" s="13" t="s">
        <v>617</v>
      </c>
      <c r="C228" s="3"/>
      <c r="D228" s="3">
        <v>26645</v>
      </c>
      <c r="E228" s="3"/>
      <c r="F228" s="3"/>
      <c r="G228" s="3"/>
      <c r="H228" s="3"/>
      <c r="I228" s="3"/>
      <c r="J228" s="4"/>
      <c r="K228" s="5" t="s">
        <v>416</v>
      </c>
      <c r="L228" s="34"/>
    </row>
    <row r="229" spans="1:12" s="11" customFormat="1" ht="15" customHeight="1">
      <c r="A229" s="6"/>
      <c r="B229" s="13" t="s">
        <v>601</v>
      </c>
      <c r="C229" s="3">
        <v>80</v>
      </c>
      <c r="D229" s="3"/>
      <c r="E229" s="3"/>
      <c r="F229" s="3"/>
      <c r="G229" s="3"/>
      <c r="H229" s="3"/>
      <c r="I229" s="3"/>
      <c r="J229" s="4"/>
      <c r="K229" s="5"/>
      <c r="L229" s="34"/>
    </row>
    <row r="230" spans="1:12" s="11" customFormat="1" ht="15" customHeight="1">
      <c r="A230" s="6">
        <v>20</v>
      </c>
      <c r="B230" s="13" t="s">
        <v>0</v>
      </c>
      <c r="C230" s="3"/>
      <c r="D230" s="3">
        <v>26645</v>
      </c>
      <c r="E230" s="3"/>
      <c r="F230" s="3"/>
      <c r="G230" s="3"/>
      <c r="H230" s="3"/>
      <c r="I230" s="3"/>
      <c r="J230" s="4"/>
      <c r="K230" s="5" t="s">
        <v>416</v>
      </c>
      <c r="L230" s="34"/>
    </row>
    <row r="231" spans="1:12" s="11" customFormat="1" ht="15" customHeight="1">
      <c r="A231" s="6"/>
      <c r="B231" s="13" t="s">
        <v>1</v>
      </c>
      <c r="C231" s="3">
        <v>450</v>
      </c>
      <c r="D231" s="3"/>
      <c r="E231" s="3"/>
      <c r="F231" s="3"/>
      <c r="G231" s="3"/>
      <c r="H231" s="3"/>
      <c r="I231" s="3"/>
      <c r="J231" s="4"/>
      <c r="K231" s="5"/>
      <c r="L231" s="34"/>
    </row>
    <row r="232" spans="1:12" s="11" customFormat="1" ht="15.75">
      <c r="A232" s="184" t="s">
        <v>2</v>
      </c>
      <c r="B232" s="184"/>
      <c r="C232" s="184"/>
      <c r="D232" s="184"/>
      <c r="E232" s="184"/>
      <c r="F232" s="3"/>
      <c r="G232" s="3"/>
      <c r="H232" s="3"/>
      <c r="I232" s="3"/>
      <c r="J232" s="4"/>
      <c r="K232" s="5"/>
      <c r="L232" s="34"/>
    </row>
    <row r="233" spans="1:12" s="11" customFormat="1" ht="15" customHeight="1">
      <c r="A233" s="6">
        <v>2</v>
      </c>
      <c r="B233" s="13" t="s">
        <v>3</v>
      </c>
      <c r="C233" s="3"/>
      <c r="D233" s="3">
        <v>10113</v>
      </c>
      <c r="E233" s="3"/>
      <c r="F233" s="3">
        <v>23</v>
      </c>
      <c r="G233" s="3">
        <v>7</v>
      </c>
      <c r="H233" s="3">
        <v>1970</v>
      </c>
      <c r="I233" s="16" t="s">
        <v>356</v>
      </c>
      <c r="J233" s="4">
        <v>2018</v>
      </c>
      <c r="K233" s="5" t="s">
        <v>416</v>
      </c>
      <c r="L233" s="34"/>
    </row>
    <row r="234" spans="1:12" s="11" customFormat="1" ht="15" customHeight="1">
      <c r="A234" s="6">
        <v>3</v>
      </c>
      <c r="B234" s="13" t="s">
        <v>4</v>
      </c>
      <c r="C234" s="3"/>
      <c r="D234" s="3">
        <v>9356</v>
      </c>
      <c r="E234" s="3"/>
      <c r="F234" s="3">
        <v>23</v>
      </c>
      <c r="G234" s="3">
        <v>7</v>
      </c>
      <c r="H234" s="3">
        <v>1970</v>
      </c>
      <c r="I234" s="16" t="s">
        <v>356</v>
      </c>
      <c r="J234" s="4">
        <v>2018</v>
      </c>
      <c r="K234" s="5" t="s">
        <v>416</v>
      </c>
      <c r="L234" s="34"/>
    </row>
    <row r="235" spans="1:245" ht="15" customHeight="1">
      <c r="A235" s="6">
        <v>6</v>
      </c>
      <c r="B235" s="13" t="s">
        <v>13</v>
      </c>
      <c r="C235" s="3"/>
      <c r="D235" s="3">
        <v>9355</v>
      </c>
      <c r="E235" s="3"/>
      <c r="F235" s="3">
        <v>23</v>
      </c>
      <c r="G235" s="3">
        <v>7</v>
      </c>
      <c r="H235" s="3">
        <v>1970</v>
      </c>
      <c r="I235" s="16" t="s">
        <v>356</v>
      </c>
      <c r="J235" s="4">
        <v>2018</v>
      </c>
      <c r="K235" s="5" t="s">
        <v>416</v>
      </c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</row>
    <row r="236" spans="1:12" s="11" customFormat="1" ht="15" customHeight="1">
      <c r="A236" s="6">
        <v>7</v>
      </c>
      <c r="B236" s="13" t="s">
        <v>5</v>
      </c>
      <c r="C236" s="3"/>
      <c r="D236" s="3">
        <v>18192</v>
      </c>
      <c r="E236" s="3"/>
      <c r="F236" s="3">
        <v>23</v>
      </c>
      <c r="G236" s="3">
        <v>7</v>
      </c>
      <c r="H236" s="3">
        <v>1971</v>
      </c>
      <c r="I236" s="16" t="s">
        <v>356</v>
      </c>
      <c r="J236" s="4">
        <v>2019</v>
      </c>
      <c r="K236" s="5" t="s">
        <v>416</v>
      </c>
      <c r="L236" s="34"/>
    </row>
    <row r="237" spans="1:12" s="11" customFormat="1" ht="15" customHeight="1">
      <c r="A237" s="6">
        <v>8</v>
      </c>
      <c r="B237" s="13" t="s">
        <v>6</v>
      </c>
      <c r="C237" s="3"/>
      <c r="D237" s="3">
        <v>18192</v>
      </c>
      <c r="E237" s="3"/>
      <c r="F237" s="3">
        <v>23</v>
      </c>
      <c r="G237" s="3">
        <v>7</v>
      </c>
      <c r="H237" s="3">
        <v>1971</v>
      </c>
      <c r="I237" s="16" t="s">
        <v>356</v>
      </c>
      <c r="J237" s="4">
        <v>2019</v>
      </c>
      <c r="K237" s="5" t="s">
        <v>400</v>
      </c>
      <c r="L237" s="34"/>
    </row>
    <row r="238" spans="1:245" ht="15" customHeight="1">
      <c r="A238" s="6">
        <v>12</v>
      </c>
      <c r="B238" s="13" t="s">
        <v>12</v>
      </c>
      <c r="C238" s="3"/>
      <c r="D238" s="3">
        <v>38916</v>
      </c>
      <c r="E238" s="3"/>
      <c r="F238" s="3">
        <v>23</v>
      </c>
      <c r="G238" s="3">
        <v>7</v>
      </c>
      <c r="H238" s="3">
        <v>1976</v>
      </c>
      <c r="I238" s="16" t="s">
        <v>356</v>
      </c>
      <c r="J238" s="4">
        <v>2020</v>
      </c>
      <c r="K238" s="5" t="s">
        <v>400</v>
      </c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</row>
    <row r="239" spans="1:245" ht="16.5">
      <c r="A239" s="181" t="s">
        <v>640</v>
      </c>
      <c r="B239" s="182"/>
      <c r="C239" s="182"/>
      <c r="D239" s="182"/>
      <c r="E239" s="183"/>
      <c r="F239" s="3"/>
      <c r="G239" s="3"/>
      <c r="H239" s="3"/>
      <c r="I239" s="3"/>
      <c r="J239" s="4"/>
      <c r="K239" s="5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</row>
    <row r="240" spans="1:245" ht="15" customHeight="1">
      <c r="A240" s="6">
        <v>9</v>
      </c>
      <c r="B240" s="13" t="s">
        <v>7</v>
      </c>
      <c r="C240" s="3"/>
      <c r="D240" s="3">
        <v>18193</v>
      </c>
      <c r="E240" s="3"/>
      <c r="F240" s="3">
        <v>23</v>
      </c>
      <c r="G240" s="3">
        <v>7</v>
      </c>
      <c r="H240" s="3">
        <v>1971</v>
      </c>
      <c r="I240" s="16" t="s">
        <v>356</v>
      </c>
      <c r="J240" s="4">
        <v>2019</v>
      </c>
      <c r="K240" s="5" t="s">
        <v>416</v>
      </c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</row>
    <row r="241" spans="1:245" ht="15" customHeight="1">
      <c r="A241" s="6">
        <v>10</v>
      </c>
      <c r="B241" s="13" t="s">
        <v>8</v>
      </c>
      <c r="C241" s="3"/>
      <c r="D241" s="3">
        <v>18193</v>
      </c>
      <c r="E241" s="3"/>
      <c r="F241" s="3">
        <v>23</v>
      </c>
      <c r="G241" s="3">
        <v>7</v>
      </c>
      <c r="H241" s="3">
        <v>1971</v>
      </c>
      <c r="I241" s="16" t="s">
        <v>356</v>
      </c>
      <c r="J241" s="4">
        <v>2019</v>
      </c>
      <c r="K241" s="5" t="s">
        <v>400</v>
      </c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</row>
    <row r="242" spans="1:245" ht="15" customHeight="1">
      <c r="A242" s="6">
        <v>11</v>
      </c>
      <c r="B242" s="13" t="s">
        <v>9</v>
      </c>
      <c r="C242" s="3"/>
      <c r="D242" s="3">
        <v>35719</v>
      </c>
      <c r="E242" s="3"/>
      <c r="F242" s="3">
        <v>23</v>
      </c>
      <c r="G242" s="3">
        <v>7</v>
      </c>
      <c r="H242" s="3">
        <v>1975</v>
      </c>
      <c r="I242" s="16" t="s">
        <v>356</v>
      </c>
      <c r="J242" s="4">
        <v>2019</v>
      </c>
      <c r="K242" s="5" t="s">
        <v>400</v>
      </c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</row>
    <row r="243" spans="1:245" ht="15" customHeight="1">
      <c r="A243" s="6">
        <v>13</v>
      </c>
      <c r="B243" s="13" t="s">
        <v>10</v>
      </c>
      <c r="C243" s="3"/>
      <c r="D243" s="3">
        <v>36613</v>
      </c>
      <c r="E243" s="3"/>
      <c r="F243" s="3">
        <v>23</v>
      </c>
      <c r="G243" s="3">
        <v>7</v>
      </c>
      <c r="H243" s="3">
        <v>1975</v>
      </c>
      <c r="I243" s="16" t="s">
        <v>356</v>
      </c>
      <c r="J243" s="4">
        <v>2019</v>
      </c>
      <c r="K243" s="5" t="s">
        <v>400</v>
      </c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</row>
    <row r="244" spans="1:245" ht="15" customHeight="1">
      <c r="A244" s="6">
        <v>15</v>
      </c>
      <c r="B244" s="13" t="s">
        <v>11</v>
      </c>
      <c r="C244" s="3"/>
      <c r="D244" s="3">
        <v>35718</v>
      </c>
      <c r="E244" s="3"/>
      <c r="F244" s="3">
        <v>23</v>
      </c>
      <c r="G244" s="3">
        <v>7</v>
      </c>
      <c r="H244" s="3">
        <v>1975</v>
      </c>
      <c r="I244" s="16" t="s">
        <v>356</v>
      </c>
      <c r="J244" s="4">
        <v>2019</v>
      </c>
      <c r="K244" s="5" t="s">
        <v>400</v>
      </c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</row>
    <row r="245" spans="1:12" s="11" customFormat="1" ht="33.75" customHeight="1">
      <c r="A245" s="184" t="s">
        <v>15</v>
      </c>
      <c r="B245" s="184"/>
      <c r="C245" s="184"/>
      <c r="D245" s="184"/>
      <c r="E245" s="184"/>
      <c r="F245" s="9"/>
      <c r="G245" s="3"/>
      <c r="H245" s="10"/>
      <c r="I245" s="132"/>
      <c r="J245" s="4"/>
      <c r="K245" s="5"/>
      <c r="L245" s="34"/>
    </row>
    <row r="246" spans="1:12" s="11" customFormat="1" ht="15" customHeight="1">
      <c r="A246" s="6">
        <v>3</v>
      </c>
      <c r="B246" s="8" t="s">
        <v>17</v>
      </c>
      <c r="C246" s="3"/>
      <c r="D246" s="3"/>
      <c r="E246" s="3"/>
      <c r="F246" s="3"/>
      <c r="G246" s="3"/>
      <c r="H246" s="3"/>
      <c r="I246" s="132"/>
      <c r="J246" s="4"/>
      <c r="K246" s="5"/>
      <c r="L246" s="34"/>
    </row>
    <row r="247" spans="1:12" s="11" customFormat="1" ht="15" customHeight="1">
      <c r="A247" s="6"/>
      <c r="B247" s="8" t="s">
        <v>18</v>
      </c>
      <c r="C247" s="3"/>
      <c r="D247" s="3"/>
      <c r="E247" s="3"/>
      <c r="F247" s="3"/>
      <c r="G247" s="3"/>
      <c r="H247" s="3"/>
      <c r="I247" s="132"/>
      <c r="J247" s="4"/>
      <c r="K247" s="5"/>
      <c r="L247" s="34"/>
    </row>
    <row r="248" spans="1:12" s="11" customFormat="1" ht="15" customHeight="1">
      <c r="A248" s="6"/>
      <c r="B248" s="8" t="s">
        <v>19</v>
      </c>
      <c r="C248" s="3">
        <v>100</v>
      </c>
      <c r="D248" s="3">
        <v>30731</v>
      </c>
      <c r="E248" s="3"/>
      <c r="F248" s="3">
        <v>27</v>
      </c>
      <c r="G248" s="3">
        <v>8.1</v>
      </c>
      <c r="H248" s="3">
        <v>1991</v>
      </c>
      <c r="I248" s="132" t="s">
        <v>579</v>
      </c>
      <c r="J248" s="4">
        <v>2015</v>
      </c>
      <c r="K248" s="5" t="s">
        <v>400</v>
      </c>
      <c r="L248" s="34"/>
    </row>
    <row r="249" spans="1:12" s="11" customFormat="1" ht="15" customHeight="1">
      <c r="A249" s="6"/>
      <c r="B249" s="8" t="s">
        <v>20</v>
      </c>
      <c r="C249" s="3">
        <v>30</v>
      </c>
      <c r="D249" s="3">
        <v>30731</v>
      </c>
      <c r="E249" s="3"/>
      <c r="F249" s="3">
        <v>17.4</v>
      </c>
      <c r="G249" s="3">
        <v>5.4</v>
      </c>
      <c r="H249" s="3">
        <v>1991</v>
      </c>
      <c r="I249" s="132" t="s">
        <v>579</v>
      </c>
      <c r="J249" s="4">
        <v>2015</v>
      </c>
      <c r="K249" s="5" t="s">
        <v>400</v>
      </c>
      <c r="L249" s="34"/>
    </row>
    <row r="250" spans="1:12" s="11" customFormat="1" ht="15" customHeight="1">
      <c r="A250" s="6"/>
      <c r="B250" s="8" t="s">
        <v>21</v>
      </c>
      <c r="C250" s="3" t="s">
        <v>22</v>
      </c>
      <c r="D250" s="3">
        <v>30731</v>
      </c>
      <c r="E250" s="3"/>
      <c r="F250" s="3">
        <v>12</v>
      </c>
      <c r="G250" s="3">
        <v>3</v>
      </c>
      <c r="H250" s="3">
        <v>1991</v>
      </c>
      <c r="I250" s="132" t="s">
        <v>285</v>
      </c>
      <c r="J250" s="4">
        <v>2015</v>
      </c>
      <c r="K250" s="5" t="s">
        <v>400</v>
      </c>
      <c r="L250" s="34"/>
    </row>
    <row r="251" spans="1:12" s="103" customFormat="1" ht="30" customHeight="1">
      <c r="A251" s="199" t="s">
        <v>23</v>
      </c>
      <c r="B251" s="200"/>
      <c r="C251" s="200"/>
      <c r="D251" s="200"/>
      <c r="E251" s="201"/>
      <c r="F251" s="45"/>
      <c r="G251" s="45"/>
      <c r="H251" s="45"/>
      <c r="I251" s="38"/>
      <c r="J251" s="46"/>
      <c r="K251" s="47"/>
      <c r="L251" s="102"/>
    </row>
    <row r="252" spans="1:12" s="103" customFormat="1" ht="15" customHeight="1">
      <c r="A252" s="48">
        <v>4</v>
      </c>
      <c r="B252" s="49" t="s">
        <v>207</v>
      </c>
      <c r="C252" s="45" t="s">
        <v>214</v>
      </c>
      <c r="D252" s="45">
        <v>27657</v>
      </c>
      <c r="E252" s="45"/>
      <c r="F252" s="45">
        <f>SUM(F253:F267)</f>
        <v>452.28000000000003</v>
      </c>
      <c r="G252" s="45">
        <f>SUM(G253:G267)</f>
        <v>153.18</v>
      </c>
      <c r="H252" s="45">
        <v>1968</v>
      </c>
      <c r="I252" s="133" t="s">
        <v>353</v>
      </c>
      <c r="J252" s="46">
        <v>2013</v>
      </c>
      <c r="K252" s="47" t="s">
        <v>416</v>
      </c>
      <c r="L252" s="102"/>
    </row>
    <row r="253" spans="1:12" s="103" customFormat="1" ht="40.5" customHeight="1">
      <c r="A253" s="48"/>
      <c r="B253" s="50" t="s">
        <v>209</v>
      </c>
      <c r="C253" s="45"/>
      <c r="D253" s="45"/>
      <c r="E253" s="45"/>
      <c r="F253" s="45"/>
      <c r="G253" s="45"/>
      <c r="H253" s="45"/>
      <c r="I253" s="133"/>
      <c r="J253" s="46"/>
      <c r="K253" s="47"/>
      <c r="L253" s="102"/>
    </row>
    <row r="254" spans="1:12" s="103" customFormat="1" ht="15" customHeight="1">
      <c r="A254" s="48"/>
      <c r="B254" s="49" t="s">
        <v>321</v>
      </c>
      <c r="C254" s="45"/>
      <c r="D254" s="45"/>
      <c r="E254" s="45"/>
      <c r="F254" s="45"/>
      <c r="G254" s="45"/>
      <c r="H254" s="45"/>
      <c r="I254" s="133"/>
      <c r="J254" s="46"/>
      <c r="K254" s="47"/>
      <c r="L254" s="102"/>
    </row>
    <row r="255" spans="1:12" s="103" customFormat="1" ht="15" customHeight="1">
      <c r="A255" s="48"/>
      <c r="B255" s="103" t="s">
        <v>320</v>
      </c>
      <c r="C255" s="45"/>
      <c r="D255" s="45"/>
      <c r="E255" s="45"/>
      <c r="F255" s="45"/>
      <c r="G255" s="45"/>
      <c r="H255" s="45"/>
      <c r="I255" s="133"/>
      <c r="J255" s="46"/>
      <c r="K255" s="47"/>
      <c r="L255" s="102"/>
    </row>
    <row r="256" spans="1:12" s="103" customFormat="1" ht="15" customHeight="1">
      <c r="A256" s="48"/>
      <c r="B256" s="49" t="s">
        <v>322</v>
      </c>
      <c r="C256" s="45" t="s">
        <v>14</v>
      </c>
      <c r="D256" s="45"/>
      <c r="E256" s="45"/>
      <c r="F256" s="45">
        <v>4.8</v>
      </c>
      <c r="G256" s="45">
        <v>1.44</v>
      </c>
      <c r="H256" s="45"/>
      <c r="I256" s="133"/>
      <c r="J256" s="46"/>
      <c r="K256" s="47"/>
      <c r="L256" s="102"/>
    </row>
    <row r="257" spans="1:12" s="103" customFormat="1" ht="15" customHeight="1">
      <c r="A257" s="48"/>
      <c r="B257" s="49" t="s">
        <v>339</v>
      </c>
      <c r="C257" s="45"/>
      <c r="D257" s="45"/>
      <c r="E257" s="45"/>
      <c r="F257" s="45"/>
      <c r="G257" s="45"/>
      <c r="H257" s="45"/>
      <c r="I257" s="133"/>
      <c r="J257" s="46"/>
      <c r="K257" s="47"/>
      <c r="L257" s="102"/>
    </row>
    <row r="258" spans="1:12" s="103" customFormat="1" ht="15" customHeight="1">
      <c r="A258" s="48"/>
      <c r="B258" s="49" t="s">
        <v>323</v>
      </c>
      <c r="C258" s="45" t="s">
        <v>526</v>
      </c>
      <c r="D258" s="45"/>
      <c r="E258" s="45"/>
      <c r="F258" s="45"/>
      <c r="G258" s="45">
        <v>1</v>
      </c>
      <c r="H258" s="45"/>
      <c r="I258" s="133"/>
      <c r="J258" s="46"/>
      <c r="K258" s="47"/>
      <c r="L258" s="102"/>
    </row>
    <row r="259" spans="1:12" s="103" customFormat="1" ht="15" customHeight="1">
      <c r="A259" s="48"/>
      <c r="B259" s="49" t="s">
        <v>319</v>
      </c>
      <c r="C259" s="45" t="s">
        <v>526</v>
      </c>
      <c r="D259" s="45"/>
      <c r="E259" s="45"/>
      <c r="F259" s="45"/>
      <c r="G259" s="45">
        <v>5</v>
      </c>
      <c r="H259" s="45"/>
      <c r="I259" s="133"/>
      <c r="J259" s="46"/>
      <c r="K259" s="47"/>
      <c r="L259" s="102"/>
    </row>
    <row r="260" spans="1:12" s="103" customFormat="1" ht="15" customHeight="1">
      <c r="A260" s="48"/>
      <c r="B260" s="49" t="s">
        <v>166</v>
      </c>
      <c r="C260" s="45" t="s">
        <v>167</v>
      </c>
      <c r="D260" s="45"/>
      <c r="E260" s="45"/>
      <c r="F260" s="45">
        <f>(95/1000)*4*550</f>
        <v>209</v>
      </c>
      <c r="G260" s="45">
        <f>(30/1000)*4*550</f>
        <v>66</v>
      </c>
      <c r="H260" s="45"/>
      <c r="I260" s="133"/>
      <c r="J260" s="46"/>
      <c r="K260" s="47"/>
      <c r="L260" s="102"/>
    </row>
    <row r="261" spans="1:12" s="103" customFormat="1" ht="15" customHeight="1">
      <c r="A261" s="48"/>
      <c r="B261" s="49" t="s">
        <v>27</v>
      </c>
      <c r="C261" s="45" t="s">
        <v>168</v>
      </c>
      <c r="D261" s="45"/>
      <c r="E261" s="45"/>
      <c r="F261" s="45">
        <f>(20/1000)*4800</f>
        <v>96</v>
      </c>
      <c r="G261" s="45">
        <f>(6/1000)*4800</f>
        <v>28.8</v>
      </c>
      <c r="H261" s="45"/>
      <c r="I261" s="133"/>
      <c r="J261" s="46"/>
      <c r="K261" s="47"/>
      <c r="L261" s="102"/>
    </row>
    <row r="262" spans="1:12" s="103" customFormat="1" ht="15" customHeight="1">
      <c r="A262" s="48"/>
      <c r="B262" s="49" t="s">
        <v>29</v>
      </c>
      <c r="C262" s="45" t="s">
        <v>169</v>
      </c>
      <c r="D262" s="45"/>
      <c r="E262" s="45"/>
      <c r="F262" s="45">
        <f>(25/100)*168</f>
        <v>42</v>
      </c>
      <c r="G262" s="45">
        <f>(8/100)*168</f>
        <v>13.44</v>
      </c>
      <c r="H262" s="45"/>
      <c r="I262" s="133"/>
      <c r="J262" s="46"/>
      <c r="K262" s="47"/>
      <c r="L262" s="102"/>
    </row>
    <row r="263" spans="1:12" s="103" customFormat="1" ht="15" customHeight="1">
      <c r="A263" s="48"/>
      <c r="B263" s="49" t="s">
        <v>204</v>
      </c>
      <c r="C263" s="45" t="s">
        <v>526</v>
      </c>
      <c r="D263" s="45"/>
      <c r="E263" s="45"/>
      <c r="F263" s="45"/>
      <c r="G263" s="45">
        <f>5/10*1</f>
        <v>0.5</v>
      </c>
      <c r="H263" s="45"/>
      <c r="I263" s="133"/>
      <c r="J263" s="46"/>
      <c r="K263" s="47"/>
      <c r="L263" s="102"/>
    </row>
    <row r="264" spans="1:12" s="103" customFormat="1" ht="15" customHeight="1">
      <c r="A264" s="48"/>
      <c r="B264" s="49" t="s">
        <v>31</v>
      </c>
      <c r="C264" s="45" t="s">
        <v>210</v>
      </c>
      <c r="D264" s="45"/>
      <c r="E264" s="45"/>
      <c r="F264" s="45"/>
      <c r="G264" s="45">
        <v>37</v>
      </c>
      <c r="H264" s="45"/>
      <c r="I264" s="133"/>
      <c r="J264" s="46"/>
      <c r="K264" s="47"/>
      <c r="L264" s="102"/>
    </row>
    <row r="265" spans="1:12" s="103" customFormat="1" ht="15" customHeight="1">
      <c r="A265" s="48"/>
      <c r="B265" s="49" t="s">
        <v>32</v>
      </c>
      <c r="C265" s="45" t="s">
        <v>211</v>
      </c>
      <c r="D265" s="45"/>
      <c r="E265" s="45"/>
      <c r="F265" s="45"/>
      <c r="G265" s="45"/>
      <c r="H265" s="45"/>
      <c r="I265" s="133"/>
      <c r="J265" s="46"/>
      <c r="K265" s="47"/>
      <c r="L265" s="102"/>
    </row>
    <row r="266" spans="1:12" s="103" customFormat="1" ht="15" customHeight="1">
      <c r="A266" s="48"/>
      <c r="B266" s="49" t="s">
        <v>208</v>
      </c>
      <c r="C266" s="45" t="s">
        <v>212</v>
      </c>
      <c r="D266" s="45"/>
      <c r="E266" s="45"/>
      <c r="F266" s="45"/>
      <c r="G266" s="45"/>
      <c r="H266" s="45"/>
      <c r="I266" s="133"/>
      <c r="J266" s="46"/>
      <c r="K266" s="47"/>
      <c r="L266" s="102"/>
    </row>
    <row r="267" spans="1:12" s="103" customFormat="1" ht="15" customHeight="1">
      <c r="A267" s="48"/>
      <c r="B267" s="49" t="s">
        <v>33</v>
      </c>
      <c r="C267" s="45" t="s">
        <v>170</v>
      </c>
      <c r="D267" s="45"/>
      <c r="E267" s="45"/>
      <c r="F267" s="45">
        <f>8/100*1256</f>
        <v>100.48</v>
      </c>
      <c r="G267" s="45"/>
      <c r="H267" s="45"/>
      <c r="I267" s="133"/>
      <c r="J267" s="46"/>
      <c r="K267" s="47"/>
      <c r="L267" s="102"/>
    </row>
    <row r="268" spans="1:12" s="103" customFormat="1" ht="15" customHeight="1">
      <c r="A268" s="48">
        <v>9</v>
      </c>
      <c r="B268" s="49" t="s">
        <v>201</v>
      </c>
      <c r="C268" s="45" t="s">
        <v>226</v>
      </c>
      <c r="D268" s="45">
        <v>30513</v>
      </c>
      <c r="E268" s="45"/>
      <c r="F268" s="45">
        <f>SUM(F269:F278)</f>
        <v>60.34</v>
      </c>
      <c r="G268" s="45">
        <f>SUM(G269:G278)</f>
        <v>22.950000000000003</v>
      </c>
      <c r="H268" s="45">
        <v>1985</v>
      </c>
      <c r="I268" s="133" t="s">
        <v>353</v>
      </c>
      <c r="J268" s="46">
        <v>2015</v>
      </c>
      <c r="K268" s="47" t="s">
        <v>400</v>
      </c>
      <c r="L268" s="102"/>
    </row>
    <row r="269" spans="1:12" s="103" customFormat="1" ht="29.25" customHeight="1">
      <c r="A269" s="48"/>
      <c r="B269" s="50" t="s">
        <v>225</v>
      </c>
      <c r="C269" s="45"/>
      <c r="D269" s="45"/>
      <c r="E269" s="45"/>
      <c r="F269" s="45"/>
      <c r="G269" s="45"/>
      <c r="H269" s="45"/>
      <c r="I269" s="133"/>
      <c r="J269" s="46"/>
      <c r="K269" s="47"/>
      <c r="L269" s="102"/>
    </row>
    <row r="270" spans="1:12" s="103" customFormat="1" ht="15" customHeight="1">
      <c r="A270" s="48"/>
      <c r="B270" s="49" t="s">
        <v>346</v>
      </c>
      <c r="C270" s="45"/>
      <c r="D270" s="45"/>
      <c r="E270" s="45"/>
      <c r="F270" s="45"/>
      <c r="G270" s="45"/>
      <c r="H270" s="45"/>
      <c r="I270" s="133"/>
      <c r="J270" s="46"/>
      <c r="K270" s="47"/>
      <c r="L270" s="102"/>
    </row>
    <row r="271" spans="1:12" s="103" customFormat="1" ht="15" customHeight="1">
      <c r="A271" s="48"/>
      <c r="B271" s="49" t="s">
        <v>326</v>
      </c>
      <c r="C271" s="45" t="s">
        <v>332</v>
      </c>
      <c r="D271" s="45"/>
      <c r="E271" s="45"/>
      <c r="F271" s="45">
        <v>2.88</v>
      </c>
      <c r="G271" s="45">
        <v>0.87</v>
      </c>
      <c r="H271" s="45"/>
      <c r="I271" s="133"/>
      <c r="J271" s="46"/>
      <c r="K271" s="47"/>
      <c r="L271" s="102"/>
    </row>
    <row r="272" spans="1:12" s="103" customFormat="1" ht="15" customHeight="1">
      <c r="A272" s="48"/>
      <c r="B272" s="49" t="s">
        <v>347</v>
      </c>
      <c r="C272" s="45" t="s">
        <v>526</v>
      </c>
      <c r="D272" s="45"/>
      <c r="E272" s="45"/>
      <c r="F272" s="45"/>
      <c r="G272" s="45">
        <v>4</v>
      </c>
      <c r="H272" s="45"/>
      <c r="I272" s="133"/>
      <c r="J272" s="46"/>
      <c r="K272" s="47"/>
      <c r="L272" s="102"/>
    </row>
    <row r="273" spans="1:12" s="103" customFormat="1" ht="15" customHeight="1">
      <c r="A273" s="48"/>
      <c r="B273" s="49" t="s">
        <v>27</v>
      </c>
      <c r="C273" s="45" t="s">
        <v>181</v>
      </c>
      <c r="D273" s="45"/>
      <c r="E273" s="45"/>
      <c r="F273" s="45">
        <f>(20/1000)*1500</f>
        <v>30</v>
      </c>
      <c r="G273" s="45">
        <f>(6/1000)*1500</f>
        <v>9</v>
      </c>
      <c r="H273" s="45"/>
      <c r="I273" s="133"/>
      <c r="J273" s="46"/>
      <c r="K273" s="47"/>
      <c r="L273" s="102"/>
    </row>
    <row r="274" spans="1:12" s="103" customFormat="1" ht="15" customHeight="1">
      <c r="A274" s="48"/>
      <c r="B274" s="49" t="s">
        <v>29</v>
      </c>
      <c r="C274" s="45" t="s">
        <v>182</v>
      </c>
      <c r="D274" s="45"/>
      <c r="E274" s="45"/>
      <c r="F274" s="45">
        <f>(25/100)*26</f>
        <v>6.5</v>
      </c>
      <c r="G274" s="45">
        <f>(8/100)*26</f>
        <v>2.08</v>
      </c>
      <c r="H274" s="45"/>
      <c r="I274" s="133"/>
      <c r="J274" s="46"/>
      <c r="K274" s="47"/>
      <c r="L274" s="102"/>
    </row>
    <row r="275" spans="1:12" s="103" customFormat="1" ht="15" customHeight="1">
      <c r="A275" s="48"/>
      <c r="B275" s="49" t="s">
        <v>204</v>
      </c>
      <c r="C275" s="45" t="s">
        <v>526</v>
      </c>
      <c r="D275" s="45"/>
      <c r="E275" s="45"/>
      <c r="F275" s="45"/>
      <c r="G275" s="45">
        <f>5/10*1</f>
        <v>0.5</v>
      </c>
      <c r="H275" s="45"/>
      <c r="I275" s="133"/>
      <c r="J275" s="46"/>
      <c r="K275" s="47"/>
      <c r="L275" s="102"/>
    </row>
    <row r="276" spans="1:12" s="103" customFormat="1" ht="15" customHeight="1">
      <c r="A276" s="48"/>
      <c r="B276" s="49" t="s">
        <v>31</v>
      </c>
      <c r="C276" s="45" t="s">
        <v>179</v>
      </c>
      <c r="D276" s="45"/>
      <c r="E276" s="45"/>
      <c r="F276" s="45"/>
      <c r="G276" s="45">
        <v>6.5</v>
      </c>
      <c r="H276" s="45"/>
      <c r="I276" s="133"/>
      <c r="J276" s="46"/>
      <c r="K276" s="47"/>
      <c r="L276" s="102"/>
    </row>
    <row r="277" spans="1:12" s="103" customFormat="1" ht="15" customHeight="1">
      <c r="A277" s="48"/>
      <c r="B277" s="49" t="s">
        <v>32</v>
      </c>
      <c r="C277" s="45" t="s">
        <v>179</v>
      </c>
      <c r="D277" s="45"/>
      <c r="E277" s="45"/>
      <c r="F277" s="45"/>
      <c r="G277" s="45"/>
      <c r="H277" s="45"/>
      <c r="I277" s="133"/>
      <c r="J277" s="46"/>
      <c r="K277" s="47"/>
      <c r="L277" s="102"/>
    </row>
    <row r="278" spans="1:12" s="103" customFormat="1" ht="15" customHeight="1">
      <c r="A278" s="48"/>
      <c r="B278" s="49" t="s">
        <v>33</v>
      </c>
      <c r="C278" s="45" t="s">
        <v>183</v>
      </c>
      <c r="D278" s="45"/>
      <c r="E278" s="45"/>
      <c r="F278" s="45">
        <f>8/100*262</f>
        <v>20.96</v>
      </c>
      <c r="G278" s="45"/>
      <c r="H278" s="45"/>
      <c r="I278" s="133"/>
      <c r="J278" s="46"/>
      <c r="K278" s="47"/>
      <c r="L278" s="102"/>
    </row>
    <row r="279" spans="1:12" s="103" customFormat="1" ht="15" customHeight="1">
      <c r="A279" s="48">
        <v>13</v>
      </c>
      <c r="B279" s="49" t="s">
        <v>203</v>
      </c>
      <c r="C279" s="45" t="s">
        <v>234</v>
      </c>
      <c r="D279" s="45">
        <v>31143</v>
      </c>
      <c r="E279" s="45"/>
      <c r="F279" s="45">
        <f>SUM(F280:F290)</f>
        <v>193.88000000000002</v>
      </c>
      <c r="G279" s="45">
        <f>SUM(G280:G290)</f>
        <v>60</v>
      </c>
      <c r="H279" s="45">
        <v>2000</v>
      </c>
      <c r="I279" s="133" t="s">
        <v>353</v>
      </c>
      <c r="J279" s="46">
        <v>2015</v>
      </c>
      <c r="K279" s="47" t="s">
        <v>416</v>
      </c>
      <c r="L279" s="102"/>
    </row>
    <row r="280" spans="1:12" s="103" customFormat="1" ht="26.25" customHeight="1">
      <c r="A280" s="48"/>
      <c r="B280" s="50" t="s">
        <v>231</v>
      </c>
      <c r="C280" s="45"/>
      <c r="D280" s="45"/>
      <c r="E280" s="45"/>
      <c r="F280" s="45"/>
      <c r="G280" s="45"/>
      <c r="H280" s="45"/>
      <c r="I280" s="133"/>
      <c r="J280" s="46"/>
      <c r="K280" s="47"/>
      <c r="L280" s="102"/>
    </row>
    <row r="281" spans="1:12" s="103" customFormat="1" ht="15" customHeight="1">
      <c r="A281" s="48"/>
      <c r="B281" s="49" t="s">
        <v>333</v>
      </c>
      <c r="C281" s="45"/>
      <c r="D281" s="45"/>
      <c r="E281" s="45"/>
      <c r="F281" s="45"/>
      <c r="G281" s="45"/>
      <c r="H281" s="45"/>
      <c r="I281" s="133"/>
      <c r="J281" s="46"/>
      <c r="K281" s="47"/>
      <c r="L281" s="102"/>
    </row>
    <row r="282" spans="1:12" s="103" customFormat="1" ht="15" customHeight="1">
      <c r="A282" s="48"/>
      <c r="B282" s="49" t="s">
        <v>331</v>
      </c>
      <c r="C282" s="45" t="s">
        <v>526</v>
      </c>
      <c r="D282" s="45"/>
      <c r="E282" s="45"/>
      <c r="F282" s="45"/>
      <c r="G282" s="45"/>
      <c r="H282" s="45"/>
      <c r="I282" s="133"/>
      <c r="J282" s="46"/>
      <c r="K282" s="47"/>
      <c r="L282" s="102"/>
    </row>
    <row r="283" spans="1:12" s="103" customFormat="1" ht="15" customHeight="1">
      <c r="A283" s="48"/>
      <c r="B283" s="49" t="s">
        <v>35</v>
      </c>
      <c r="C283" s="45" t="s">
        <v>230</v>
      </c>
      <c r="D283" s="45"/>
      <c r="E283" s="45"/>
      <c r="F283" s="45">
        <v>3.8</v>
      </c>
      <c r="G283" s="45">
        <v>1.2</v>
      </c>
      <c r="H283" s="45"/>
      <c r="I283" s="133"/>
      <c r="J283" s="46"/>
      <c r="K283" s="47"/>
      <c r="L283" s="102"/>
    </row>
    <row r="284" spans="1:12" s="103" customFormat="1" ht="15" customHeight="1">
      <c r="A284" s="48"/>
      <c r="B284" s="49" t="s">
        <v>342</v>
      </c>
      <c r="C284" s="45"/>
      <c r="D284" s="45"/>
      <c r="E284" s="45"/>
      <c r="F284" s="45"/>
      <c r="G284" s="45"/>
      <c r="H284" s="45"/>
      <c r="I284" s="133"/>
      <c r="J284" s="46"/>
      <c r="K284" s="47"/>
      <c r="L284" s="102"/>
    </row>
    <row r="285" spans="1:12" s="103" customFormat="1" ht="15" customHeight="1">
      <c r="A285" s="48"/>
      <c r="B285" s="49" t="s">
        <v>334</v>
      </c>
      <c r="C285" s="45" t="s">
        <v>526</v>
      </c>
      <c r="D285" s="45"/>
      <c r="E285" s="45"/>
      <c r="F285" s="45"/>
      <c r="G285" s="45">
        <v>4</v>
      </c>
      <c r="H285" s="45"/>
      <c r="I285" s="133"/>
      <c r="J285" s="46"/>
      <c r="K285" s="47"/>
      <c r="L285" s="102"/>
    </row>
    <row r="286" spans="1:12" s="103" customFormat="1" ht="15" customHeight="1">
      <c r="A286" s="48"/>
      <c r="B286" s="49" t="s">
        <v>27</v>
      </c>
      <c r="C286" s="45" t="s">
        <v>232</v>
      </c>
      <c r="D286" s="45"/>
      <c r="E286" s="45"/>
      <c r="F286" s="45">
        <f>(20/1000)*800</f>
        <v>16</v>
      </c>
      <c r="G286" s="45">
        <f>(6/1000)*800</f>
        <v>4.8</v>
      </c>
      <c r="H286" s="45"/>
      <c r="I286" s="133"/>
      <c r="J286" s="46"/>
      <c r="K286" s="47"/>
      <c r="L286" s="102"/>
    </row>
    <row r="287" spans="1:12" s="103" customFormat="1" ht="15" customHeight="1">
      <c r="A287" s="48"/>
      <c r="B287" s="49" t="s">
        <v>35</v>
      </c>
      <c r="C287" s="45" t="s">
        <v>233</v>
      </c>
      <c r="D287" s="45"/>
      <c r="E287" s="45"/>
      <c r="F287" s="45">
        <f>(95/1000)*4*400</f>
        <v>152</v>
      </c>
      <c r="G287" s="45">
        <f>(30/1000)*4*400</f>
        <v>48</v>
      </c>
      <c r="H287" s="45"/>
      <c r="I287" s="133"/>
      <c r="J287" s="46"/>
      <c r="K287" s="47"/>
      <c r="L287" s="102"/>
    </row>
    <row r="288" spans="1:12" s="103" customFormat="1" ht="15" customHeight="1">
      <c r="A288" s="48"/>
      <c r="B288" s="49" t="s">
        <v>184</v>
      </c>
      <c r="C288" s="45" t="s">
        <v>213</v>
      </c>
      <c r="D288" s="45"/>
      <c r="E288" s="45"/>
      <c r="F288" s="45"/>
      <c r="G288" s="45">
        <v>2</v>
      </c>
      <c r="H288" s="45"/>
      <c r="I288" s="133"/>
      <c r="J288" s="46"/>
      <c r="K288" s="47"/>
      <c r="L288" s="102"/>
    </row>
    <row r="289" spans="1:12" s="103" customFormat="1" ht="15" customHeight="1">
      <c r="A289" s="48"/>
      <c r="B289" s="49" t="s">
        <v>185</v>
      </c>
      <c r="C289" s="45" t="s">
        <v>213</v>
      </c>
      <c r="D289" s="45"/>
      <c r="E289" s="45"/>
      <c r="F289" s="45"/>
      <c r="G289" s="45"/>
      <c r="H289" s="45"/>
      <c r="I289" s="133"/>
      <c r="J289" s="46"/>
      <c r="K289" s="47"/>
      <c r="L289" s="102"/>
    </row>
    <row r="290" spans="1:12" s="103" customFormat="1" ht="15" customHeight="1">
      <c r="A290" s="48"/>
      <c r="B290" s="49" t="s">
        <v>33</v>
      </c>
      <c r="C290" s="45" t="s">
        <v>235</v>
      </c>
      <c r="D290" s="45"/>
      <c r="E290" s="45"/>
      <c r="F290" s="45">
        <f>8/100*276</f>
        <v>22.080000000000002</v>
      </c>
      <c r="G290" s="45"/>
      <c r="H290" s="45"/>
      <c r="I290" s="133"/>
      <c r="J290" s="46"/>
      <c r="K290" s="47"/>
      <c r="L290" s="102"/>
    </row>
    <row r="291" spans="1:12" s="103" customFormat="1" ht="15" customHeight="1">
      <c r="A291" s="48">
        <v>24</v>
      </c>
      <c r="B291" s="49" t="s">
        <v>227</v>
      </c>
      <c r="C291" s="45" t="s">
        <v>450</v>
      </c>
      <c r="D291" s="45"/>
      <c r="E291" s="45"/>
      <c r="F291" s="45">
        <f>SUM(F292:F299)</f>
        <v>36</v>
      </c>
      <c r="G291" s="45">
        <f>SUM(G292:G299)</f>
        <v>13.3</v>
      </c>
      <c r="H291" s="45"/>
      <c r="I291" s="133" t="s">
        <v>353</v>
      </c>
      <c r="J291" s="46">
        <v>2018</v>
      </c>
      <c r="K291" s="47" t="s">
        <v>416</v>
      </c>
      <c r="L291" s="102"/>
    </row>
    <row r="292" spans="1:12" s="103" customFormat="1" ht="15" customHeight="1">
      <c r="A292" s="48"/>
      <c r="B292" s="50" t="s">
        <v>228</v>
      </c>
      <c r="C292" s="45"/>
      <c r="D292" s="45"/>
      <c r="E292" s="45"/>
      <c r="F292" s="45"/>
      <c r="G292" s="45"/>
      <c r="H292" s="45"/>
      <c r="I292" s="133"/>
      <c r="J292" s="46"/>
      <c r="K292" s="47"/>
      <c r="L292" s="102"/>
    </row>
    <row r="293" spans="1:12" s="103" customFormat="1" ht="15" customHeight="1">
      <c r="A293" s="48"/>
      <c r="B293" s="49" t="s">
        <v>348</v>
      </c>
      <c r="C293" s="45"/>
      <c r="D293" s="45"/>
      <c r="E293" s="45"/>
      <c r="F293" s="45"/>
      <c r="G293" s="45"/>
      <c r="H293" s="45"/>
      <c r="I293" s="133"/>
      <c r="J293" s="46"/>
      <c r="K293" s="47"/>
      <c r="L293" s="102"/>
    </row>
    <row r="294" spans="1:12" s="103" customFormat="1" ht="15" customHeight="1">
      <c r="A294" s="48"/>
      <c r="B294" s="49" t="s">
        <v>335</v>
      </c>
      <c r="C294" s="45" t="s">
        <v>352</v>
      </c>
      <c r="D294" s="45"/>
      <c r="E294" s="45"/>
      <c r="F294" s="45">
        <v>8.4</v>
      </c>
      <c r="G294" s="45">
        <v>2.52</v>
      </c>
      <c r="H294" s="45"/>
      <c r="I294" s="133"/>
      <c r="J294" s="46"/>
      <c r="K294" s="47"/>
      <c r="L294" s="102"/>
    </row>
    <row r="295" spans="1:12" s="103" customFormat="1" ht="15" customHeight="1">
      <c r="A295" s="48"/>
      <c r="B295" s="49" t="s">
        <v>349</v>
      </c>
      <c r="C295" s="45" t="s">
        <v>526</v>
      </c>
      <c r="D295" s="45"/>
      <c r="E295" s="45"/>
      <c r="F295" s="45"/>
      <c r="G295" s="45">
        <v>1</v>
      </c>
      <c r="H295" s="45"/>
      <c r="I295" s="133"/>
      <c r="J295" s="46"/>
      <c r="K295" s="47"/>
      <c r="L295" s="102"/>
    </row>
    <row r="296" spans="1:12" s="103" customFormat="1" ht="15" customHeight="1">
      <c r="A296" s="48"/>
      <c r="B296" s="49" t="s">
        <v>26</v>
      </c>
      <c r="C296" s="45" t="s">
        <v>192</v>
      </c>
      <c r="D296" s="45"/>
      <c r="E296" s="45"/>
      <c r="F296" s="45">
        <f>(60/1000)*4*90</f>
        <v>21.599999999999998</v>
      </c>
      <c r="G296" s="45">
        <f>(18/1000)*4*90</f>
        <v>6.4799999999999995</v>
      </c>
      <c r="H296" s="45"/>
      <c r="I296" s="133"/>
      <c r="J296" s="46"/>
      <c r="K296" s="47"/>
      <c r="L296" s="102"/>
    </row>
    <row r="297" spans="1:12" s="103" customFormat="1" ht="15" customHeight="1">
      <c r="A297" s="48"/>
      <c r="B297" s="49" t="s">
        <v>27</v>
      </c>
      <c r="C297" s="45" t="s">
        <v>237</v>
      </c>
      <c r="D297" s="45"/>
      <c r="E297" s="45"/>
      <c r="F297" s="45">
        <f>(20/1000)*300</f>
        <v>6</v>
      </c>
      <c r="G297" s="45">
        <f>(6/1000)*300</f>
        <v>1.8</v>
      </c>
      <c r="H297" s="45"/>
      <c r="I297" s="133"/>
      <c r="J297" s="46"/>
      <c r="K297" s="47"/>
      <c r="L297" s="102"/>
    </row>
    <row r="298" spans="1:12" s="103" customFormat="1" ht="15" customHeight="1">
      <c r="A298" s="48"/>
      <c r="B298" s="49" t="s">
        <v>184</v>
      </c>
      <c r="C298" s="45" t="s">
        <v>205</v>
      </c>
      <c r="D298" s="45"/>
      <c r="E298" s="45"/>
      <c r="F298" s="45"/>
      <c r="G298" s="45">
        <v>1.5</v>
      </c>
      <c r="H298" s="45"/>
      <c r="I298" s="133"/>
      <c r="J298" s="46"/>
      <c r="K298" s="47"/>
      <c r="L298" s="102"/>
    </row>
    <row r="299" spans="1:12" s="103" customFormat="1" ht="15" customHeight="1">
      <c r="A299" s="48"/>
      <c r="B299" s="49" t="s">
        <v>185</v>
      </c>
      <c r="C299" s="45" t="s">
        <v>205</v>
      </c>
      <c r="D299" s="45"/>
      <c r="E299" s="45"/>
      <c r="F299" s="45"/>
      <c r="G299" s="45"/>
      <c r="H299" s="45"/>
      <c r="I299" s="133"/>
      <c r="J299" s="46"/>
      <c r="K299" s="47"/>
      <c r="L299" s="102"/>
    </row>
    <row r="300" spans="1:12" s="103" customFormat="1" ht="15" customHeight="1">
      <c r="A300" s="48">
        <v>27</v>
      </c>
      <c r="B300" s="49" t="s">
        <v>229</v>
      </c>
      <c r="C300" s="45" t="s">
        <v>218</v>
      </c>
      <c r="D300" s="45"/>
      <c r="E300" s="45"/>
      <c r="F300" s="45">
        <f>SUM(F301:F308)</f>
        <v>100.8</v>
      </c>
      <c r="G300" s="45">
        <f>SUM(G301:G308)</f>
        <v>35.239999999999995</v>
      </c>
      <c r="H300" s="45"/>
      <c r="I300" s="133" t="s">
        <v>353</v>
      </c>
      <c r="J300" s="46">
        <v>2018</v>
      </c>
      <c r="K300" s="47" t="s">
        <v>400</v>
      </c>
      <c r="L300" s="102"/>
    </row>
    <row r="301" spans="1:12" s="103" customFormat="1" ht="24.75">
      <c r="A301" s="48"/>
      <c r="B301" s="50" t="s">
        <v>238</v>
      </c>
      <c r="C301" s="45"/>
      <c r="D301" s="45"/>
      <c r="E301" s="45"/>
      <c r="F301" s="45"/>
      <c r="G301" s="45"/>
      <c r="H301" s="45"/>
      <c r="I301" s="133"/>
      <c r="J301" s="46"/>
      <c r="K301" s="47"/>
      <c r="L301" s="102"/>
    </row>
    <row r="302" spans="1:12" s="103" customFormat="1" ht="15" customHeight="1">
      <c r="A302" s="48"/>
      <c r="B302" s="50" t="s">
        <v>350</v>
      </c>
      <c r="C302" s="45"/>
      <c r="D302" s="45"/>
      <c r="E302" s="45"/>
      <c r="F302" s="45"/>
      <c r="G302" s="45"/>
      <c r="H302" s="45"/>
      <c r="I302" s="133"/>
      <c r="J302" s="46"/>
      <c r="K302" s="47"/>
      <c r="L302" s="102"/>
    </row>
    <row r="303" spans="1:12" s="103" customFormat="1" ht="15" customHeight="1">
      <c r="A303" s="48"/>
      <c r="B303" s="50" t="s">
        <v>26</v>
      </c>
      <c r="C303" s="45" t="s">
        <v>477</v>
      </c>
      <c r="D303" s="45"/>
      <c r="E303" s="45"/>
      <c r="F303" s="45">
        <v>16.8</v>
      </c>
      <c r="G303" s="45">
        <v>5.04</v>
      </c>
      <c r="H303" s="45"/>
      <c r="I303" s="133"/>
      <c r="J303" s="46"/>
      <c r="K303" s="47"/>
      <c r="L303" s="102"/>
    </row>
    <row r="304" spans="1:12" s="103" customFormat="1" ht="15" customHeight="1">
      <c r="A304" s="48"/>
      <c r="B304" s="49" t="s">
        <v>343</v>
      </c>
      <c r="C304" s="45"/>
      <c r="D304" s="45"/>
      <c r="E304" s="45"/>
      <c r="F304" s="45"/>
      <c r="G304" s="45"/>
      <c r="H304" s="45"/>
      <c r="I304" s="133"/>
      <c r="J304" s="46"/>
      <c r="K304" s="47"/>
      <c r="L304" s="102"/>
    </row>
    <row r="305" spans="1:12" s="103" customFormat="1" ht="15" customHeight="1">
      <c r="A305" s="48"/>
      <c r="B305" s="49" t="s">
        <v>351</v>
      </c>
      <c r="C305" s="45"/>
      <c r="D305" s="45"/>
      <c r="E305" s="45"/>
      <c r="F305" s="45"/>
      <c r="G305" s="45">
        <v>1</v>
      </c>
      <c r="H305" s="45"/>
      <c r="I305" s="133"/>
      <c r="J305" s="46"/>
      <c r="K305" s="47"/>
      <c r="L305" s="102"/>
    </row>
    <row r="306" spans="1:12" s="103" customFormat="1" ht="15" customHeight="1">
      <c r="A306" s="48"/>
      <c r="B306" s="49" t="s">
        <v>26</v>
      </c>
      <c r="C306" s="45" t="s">
        <v>239</v>
      </c>
      <c r="D306" s="45"/>
      <c r="E306" s="45"/>
      <c r="F306" s="45">
        <f>(60/1000)*4*350</f>
        <v>84</v>
      </c>
      <c r="G306" s="45">
        <f>(18/1000)*4*350</f>
        <v>25.2</v>
      </c>
      <c r="H306" s="45"/>
      <c r="I306" s="133"/>
      <c r="J306" s="46"/>
      <c r="K306" s="47"/>
      <c r="L306" s="102"/>
    </row>
    <row r="307" spans="1:12" s="103" customFormat="1" ht="15" customHeight="1">
      <c r="A307" s="48"/>
      <c r="B307" s="49" t="s">
        <v>184</v>
      </c>
      <c r="C307" s="45" t="s">
        <v>218</v>
      </c>
      <c r="D307" s="45"/>
      <c r="E307" s="45"/>
      <c r="F307" s="45"/>
      <c r="G307" s="45">
        <v>4</v>
      </c>
      <c r="H307" s="45"/>
      <c r="I307" s="133"/>
      <c r="J307" s="46"/>
      <c r="K307" s="47"/>
      <c r="L307" s="102"/>
    </row>
    <row r="308" spans="1:12" s="103" customFormat="1" ht="15" customHeight="1">
      <c r="A308" s="48"/>
      <c r="B308" s="49" t="s">
        <v>185</v>
      </c>
      <c r="C308" s="45" t="s">
        <v>218</v>
      </c>
      <c r="D308" s="45"/>
      <c r="E308" s="45"/>
      <c r="F308" s="45"/>
      <c r="G308" s="45"/>
      <c r="H308" s="45"/>
      <c r="I308" s="133"/>
      <c r="J308" s="46"/>
      <c r="K308" s="47"/>
      <c r="L308" s="102"/>
    </row>
  </sheetData>
  <sheetProtection/>
  <mergeCells count="56">
    <mergeCell ref="A89:E89"/>
    <mergeCell ref="A81:E81"/>
    <mergeCell ref="A82:E82"/>
    <mergeCell ref="A46:E46"/>
    <mergeCell ref="A47:E47"/>
    <mergeCell ref="A251:E251"/>
    <mergeCell ref="A92:E92"/>
    <mergeCell ref="A103:E103"/>
    <mergeCell ref="A112:E112"/>
    <mergeCell ref="A116:E116"/>
    <mergeCell ref="A166:E166"/>
    <mergeCell ref="A172:E172"/>
    <mergeCell ref="A167:E167"/>
    <mergeCell ref="I1:I2"/>
    <mergeCell ref="E1:E2"/>
    <mergeCell ref="J1:J2"/>
    <mergeCell ref="H1:H2"/>
    <mergeCell ref="A91:E91"/>
    <mergeCell ref="A14:E14"/>
    <mergeCell ref="A15:E15"/>
    <mergeCell ref="A28:E28"/>
    <mergeCell ref="A29:I29"/>
    <mergeCell ref="A61:E61"/>
    <mergeCell ref="A4:E4"/>
    <mergeCell ref="A3:E3"/>
    <mergeCell ref="F1:G1"/>
    <mergeCell ref="A1:A2"/>
    <mergeCell ref="B1:B2"/>
    <mergeCell ref="C1:C2"/>
    <mergeCell ref="D1:D2"/>
    <mergeCell ref="A69:E69"/>
    <mergeCell ref="A113:G113"/>
    <mergeCell ref="A104:F104"/>
    <mergeCell ref="A142:E142"/>
    <mergeCell ref="A119:E119"/>
    <mergeCell ref="A33:E33"/>
    <mergeCell ref="A62:E62"/>
    <mergeCell ref="A34:E34"/>
    <mergeCell ref="A68:E68"/>
    <mergeCell ref="A88:E88"/>
    <mergeCell ref="A199:E199"/>
    <mergeCell ref="A175:E175"/>
    <mergeCell ref="A232:E232"/>
    <mergeCell ref="A224:E224"/>
    <mergeCell ref="A245:E245"/>
    <mergeCell ref="A227:E227"/>
    <mergeCell ref="A239:E239"/>
    <mergeCell ref="A153:E153"/>
    <mergeCell ref="A126:E126"/>
    <mergeCell ref="A155:E155"/>
    <mergeCell ref="A178:E178"/>
    <mergeCell ref="A182:E182"/>
    <mergeCell ref="A163:E163"/>
    <mergeCell ref="A159:E159"/>
    <mergeCell ref="A162:E162"/>
    <mergeCell ref="A146:G146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&amp;U88-23&amp;C&amp;"-,полужирный"&amp;16План технического обслуживания и ремонта энергооборудования, коммуникаций и систем на &amp;U2020&amp;U год
&amp;R
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69"/>
  <sheetViews>
    <sheetView zoomScalePageLayoutView="0" workbookViewId="0" topLeftCell="A1">
      <selection activeCell="A155" sqref="A155:V169"/>
    </sheetView>
  </sheetViews>
  <sheetFormatPr defaultColWidth="9.140625" defaultRowHeight="15"/>
  <cols>
    <col min="1" max="1" width="8.8515625" style="120" customWidth="1"/>
    <col min="2" max="2" width="13.7109375" style="120" customWidth="1"/>
    <col min="3" max="22" width="8.8515625" style="120" customWidth="1"/>
  </cols>
  <sheetData>
    <row r="1" spans="1:25" s="1" customFormat="1" ht="14.25" customHeight="1">
      <c r="A1" s="209" t="s">
        <v>392</v>
      </c>
      <c r="B1" s="209" t="s">
        <v>393</v>
      </c>
      <c r="C1" s="209" t="s">
        <v>394</v>
      </c>
      <c r="D1" s="209" t="s">
        <v>395</v>
      </c>
      <c r="E1" s="209" t="s">
        <v>396</v>
      </c>
      <c r="F1" s="210" t="s">
        <v>397</v>
      </c>
      <c r="G1" s="210"/>
      <c r="H1" s="209" t="s">
        <v>389</v>
      </c>
      <c r="I1" s="209" t="s">
        <v>390</v>
      </c>
      <c r="J1" s="203" t="s">
        <v>359</v>
      </c>
      <c r="K1" s="205" t="s">
        <v>398</v>
      </c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34"/>
      <c r="X1" s="11"/>
      <c r="Y1" s="11"/>
    </row>
    <row r="2" spans="1:25" s="1" customFormat="1" ht="48.75" customHeight="1">
      <c r="A2" s="211"/>
      <c r="B2" s="212"/>
      <c r="C2" s="209"/>
      <c r="D2" s="209"/>
      <c r="E2" s="209"/>
      <c r="F2" s="115" t="s">
        <v>399</v>
      </c>
      <c r="G2" s="115" t="s">
        <v>400</v>
      </c>
      <c r="H2" s="209"/>
      <c r="I2" s="209"/>
      <c r="J2" s="204"/>
      <c r="K2" s="105" t="s">
        <v>401</v>
      </c>
      <c r="L2" s="116" t="s">
        <v>402</v>
      </c>
      <c r="M2" s="116" t="s">
        <v>403</v>
      </c>
      <c r="N2" s="116" t="s">
        <v>404</v>
      </c>
      <c r="O2" s="116" t="s">
        <v>405</v>
      </c>
      <c r="P2" s="116" t="s">
        <v>406</v>
      </c>
      <c r="Q2" s="116" t="s">
        <v>407</v>
      </c>
      <c r="R2" s="116" t="s">
        <v>408</v>
      </c>
      <c r="S2" s="116" t="s">
        <v>409</v>
      </c>
      <c r="T2" s="116" t="s">
        <v>410</v>
      </c>
      <c r="U2" s="116" t="s">
        <v>411</v>
      </c>
      <c r="V2" s="116" t="s">
        <v>412</v>
      </c>
      <c r="W2" s="35"/>
      <c r="X2" s="11"/>
      <c r="Y2" s="11"/>
    </row>
    <row r="3" spans="1:22" ht="33.75" customHeight="1">
      <c r="A3" s="202" t="s">
        <v>36</v>
      </c>
      <c r="B3" s="202"/>
      <c r="C3" s="202"/>
      <c r="D3" s="202"/>
      <c r="E3" s="202"/>
      <c r="F3" s="206"/>
      <c r="G3" s="207"/>
      <c r="H3" s="207"/>
      <c r="I3" s="208"/>
      <c r="J3" s="109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15.75">
      <c r="A4" s="110">
        <v>1</v>
      </c>
      <c r="B4" s="117" t="s">
        <v>38</v>
      </c>
      <c r="C4" s="106">
        <v>263183</v>
      </c>
      <c r="D4" s="106" t="s">
        <v>39</v>
      </c>
      <c r="E4" s="106">
        <v>1000</v>
      </c>
      <c r="F4" s="106">
        <v>310</v>
      </c>
      <c r="G4" s="106">
        <v>62</v>
      </c>
      <c r="H4" s="106">
        <v>1993</v>
      </c>
      <c r="I4" s="106" t="s">
        <v>608</v>
      </c>
      <c r="J4" s="109">
        <v>2008</v>
      </c>
      <c r="K4" s="108"/>
      <c r="L4" s="108"/>
      <c r="M4" s="108"/>
      <c r="N4" s="108"/>
      <c r="O4" s="108" t="s">
        <v>399</v>
      </c>
      <c r="P4" s="108"/>
      <c r="Q4" s="108"/>
      <c r="R4" s="108"/>
      <c r="S4" s="108"/>
      <c r="T4" s="108"/>
      <c r="U4" s="108" t="s">
        <v>416</v>
      </c>
      <c r="V4" s="108"/>
    </row>
    <row r="5" spans="1:22" ht="15.75">
      <c r="A5" s="110">
        <v>2</v>
      </c>
      <c r="B5" s="117" t="s">
        <v>40</v>
      </c>
      <c r="C5" s="106">
        <v>271842</v>
      </c>
      <c r="D5" s="106" t="s">
        <v>39</v>
      </c>
      <c r="E5" s="106">
        <v>1000</v>
      </c>
      <c r="F5" s="106">
        <v>310</v>
      </c>
      <c r="G5" s="106">
        <v>62</v>
      </c>
      <c r="H5" s="106">
        <v>1993</v>
      </c>
      <c r="I5" s="106" t="s">
        <v>608</v>
      </c>
      <c r="J5" s="109">
        <v>2008</v>
      </c>
      <c r="K5" s="108"/>
      <c r="L5" s="108"/>
      <c r="M5" s="108" t="s">
        <v>416</v>
      </c>
      <c r="N5" s="108"/>
      <c r="O5" s="108"/>
      <c r="P5" s="108"/>
      <c r="Q5" s="108"/>
      <c r="R5" s="108"/>
      <c r="S5" s="108" t="s">
        <v>399</v>
      </c>
      <c r="T5" s="108"/>
      <c r="U5" s="108"/>
      <c r="V5" s="108"/>
    </row>
    <row r="6" spans="1:22" ht="15.75">
      <c r="A6" s="110">
        <v>3</v>
      </c>
      <c r="B6" s="117" t="s">
        <v>41</v>
      </c>
      <c r="C6" s="106">
        <v>262904</v>
      </c>
      <c r="D6" s="106">
        <v>76603</v>
      </c>
      <c r="E6" s="106">
        <v>1000</v>
      </c>
      <c r="F6" s="106">
        <v>310</v>
      </c>
      <c r="G6" s="106">
        <v>62</v>
      </c>
      <c r="H6" s="106">
        <v>1993</v>
      </c>
      <c r="I6" s="106" t="s">
        <v>608</v>
      </c>
      <c r="J6" s="109">
        <v>2008</v>
      </c>
      <c r="K6" s="108"/>
      <c r="L6" s="108"/>
      <c r="M6" s="108"/>
      <c r="N6" s="108"/>
      <c r="O6" s="108" t="s">
        <v>399</v>
      </c>
      <c r="P6" s="108"/>
      <c r="Q6" s="108"/>
      <c r="R6" s="108"/>
      <c r="S6" s="108"/>
      <c r="T6" s="108"/>
      <c r="U6" s="108" t="s">
        <v>416</v>
      </c>
      <c r="V6" s="108"/>
    </row>
    <row r="7" spans="1:22" ht="15.75">
      <c r="A7" s="110">
        <v>4</v>
      </c>
      <c r="B7" s="117" t="s">
        <v>42</v>
      </c>
      <c r="C7" s="106">
        <v>262997</v>
      </c>
      <c r="D7" s="106">
        <v>76603</v>
      </c>
      <c r="E7" s="106">
        <v>1000</v>
      </c>
      <c r="F7" s="106">
        <v>310</v>
      </c>
      <c r="G7" s="106">
        <v>62</v>
      </c>
      <c r="H7" s="106">
        <v>1993</v>
      </c>
      <c r="I7" s="106" t="s">
        <v>608</v>
      </c>
      <c r="J7" s="109">
        <v>2008</v>
      </c>
      <c r="K7" s="108"/>
      <c r="L7" s="108"/>
      <c r="M7" s="108" t="s">
        <v>416</v>
      </c>
      <c r="N7" s="108"/>
      <c r="O7" s="108"/>
      <c r="P7" s="108"/>
      <c r="Q7" s="108"/>
      <c r="R7" s="108"/>
      <c r="S7" s="108"/>
      <c r="T7" s="108"/>
      <c r="U7" s="108" t="s">
        <v>399</v>
      </c>
      <c r="V7" s="108"/>
    </row>
    <row r="8" spans="1:22" ht="15.75">
      <c r="A8" s="110">
        <v>5</v>
      </c>
      <c r="B8" s="117" t="s">
        <v>43</v>
      </c>
      <c r="C8" s="106">
        <v>14256</v>
      </c>
      <c r="D8" s="106" t="s">
        <v>44</v>
      </c>
      <c r="E8" s="106">
        <v>1000</v>
      </c>
      <c r="F8" s="106">
        <v>310</v>
      </c>
      <c r="G8" s="106">
        <v>62</v>
      </c>
      <c r="H8" s="106">
        <v>2008</v>
      </c>
      <c r="I8" s="106" t="s">
        <v>608</v>
      </c>
      <c r="J8" s="109">
        <v>2008</v>
      </c>
      <c r="K8" s="108"/>
      <c r="L8" s="108"/>
      <c r="M8" s="108"/>
      <c r="N8" s="108"/>
      <c r="O8" s="108" t="s">
        <v>399</v>
      </c>
      <c r="P8" s="108"/>
      <c r="Q8" s="108"/>
      <c r="R8" s="108"/>
      <c r="S8" s="108"/>
      <c r="T8" s="108"/>
      <c r="U8" s="108" t="s">
        <v>416</v>
      </c>
      <c r="V8" s="108"/>
    </row>
    <row r="9" spans="1:22" ht="15.75">
      <c r="A9" s="110">
        <v>6</v>
      </c>
      <c r="B9" s="117" t="s">
        <v>45</v>
      </c>
      <c r="C9" s="106">
        <v>14343</v>
      </c>
      <c r="D9" s="106" t="s">
        <v>44</v>
      </c>
      <c r="E9" s="106">
        <v>1000</v>
      </c>
      <c r="F9" s="106">
        <v>310</v>
      </c>
      <c r="G9" s="106">
        <v>62</v>
      </c>
      <c r="H9" s="106">
        <v>2008</v>
      </c>
      <c r="I9" s="106" t="s">
        <v>608</v>
      </c>
      <c r="J9" s="109">
        <v>2008</v>
      </c>
      <c r="K9" s="108"/>
      <c r="L9" s="108"/>
      <c r="M9" s="108"/>
      <c r="N9" s="108"/>
      <c r="O9" s="108" t="s">
        <v>399</v>
      </c>
      <c r="P9" s="108"/>
      <c r="Q9" s="108"/>
      <c r="R9" s="108"/>
      <c r="S9" s="108"/>
      <c r="T9" s="108"/>
      <c r="U9" s="108" t="s">
        <v>416</v>
      </c>
      <c r="V9" s="108"/>
    </row>
    <row r="10" spans="1:22" ht="16.5">
      <c r="A10" s="195" t="s">
        <v>46</v>
      </c>
      <c r="B10" s="195"/>
      <c r="C10" s="195"/>
      <c r="D10" s="195"/>
      <c r="E10" s="195"/>
      <c r="F10" s="206"/>
      <c r="G10" s="207"/>
      <c r="H10" s="207"/>
      <c r="I10" s="208"/>
      <c r="J10" s="109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ht="15.75">
      <c r="A11" s="110">
        <v>1</v>
      </c>
      <c r="B11" s="117" t="s">
        <v>47</v>
      </c>
      <c r="C11" s="106">
        <v>18412</v>
      </c>
      <c r="D11" s="106" t="s">
        <v>48</v>
      </c>
      <c r="E11" s="106">
        <v>1000</v>
      </c>
      <c r="F11" s="106">
        <v>310</v>
      </c>
      <c r="G11" s="106">
        <v>62</v>
      </c>
      <c r="H11" s="106">
        <v>1972</v>
      </c>
      <c r="I11" s="106" t="s">
        <v>608</v>
      </c>
      <c r="J11" s="109">
        <v>2012</v>
      </c>
      <c r="K11" s="108"/>
      <c r="L11" s="108"/>
      <c r="M11" s="108"/>
      <c r="N11" s="108"/>
      <c r="O11" s="108"/>
      <c r="P11" s="108"/>
      <c r="Q11" s="108"/>
      <c r="R11" s="108" t="s">
        <v>416</v>
      </c>
      <c r="S11" s="108"/>
      <c r="T11" s="108"/>
      <c r="U11" s="108"/>
      <c r="V11" s="108"/>
    </row>
    <row r="12" spans="1:22" ht="15.75">
      <c r="A12" s="110">
        <v>2</v>
      </c>
      <c r="B12" s="117" t="s">
        <v>49</v>
      </c>
      <c r="C12" s="106">
        <v>17457</v>
      </c>
      <c r="D12" s="106" t="s">
        <v>50</v>
      </c>
      <c r="E12" s="106">
        <v>1000</v>
      </c>
      <c r="F12" s="106">
        <v>310</v>
      </c>
      <c r="G12" s="106">
        <v>62</v>
      </c>
      <c r="H12" s="106">
        <v>1977</v>
      </c>
      <c r="I12" s="106" t="s">
        <v>608</v>
      </c>
      <c r="J12" s="109">
        <v>2013</v>
      </c>
      <c r="K12" s="108"/>
      <c r="L12" s="108"/>
      <c r="M12" s="108"/>
      <c r="N12" s="108"/>
      <c r="O12" s="108"/>
      <c r="P12" s="108"/>
      <c r="Q12" s="108" t="s">
        <v>416</v>
      </c>
      <c r="R12" s="108"/>
      <c r="S12" s="108"/>
      <c r="T12" s="108"/>
      <c r="U12" s="108"/>
      <c r="V12" s="108"/>
    </row>
    <row r="13" spans="1:22" ht="15.75">
      <c r="A13" s="110">
        <v>3</v>
      </c>
      <c r="B13" s="117" t="s">
        <v>51</v>
      </c>
      <c r="C13" s="106">
        <v>17958</v>
      </c>
      <c r="D13" s="106" t="s">
        <v>52</v>
      </c>
      <c r="E13" s="106">
        <v>1000</v>
      </c>
      <c r="F13" s="106">
        <v>310</v>
      </c>
      <c r="G13" s="106">
        <v>62</v>
      </c>
      <c r="H13" s="106">
        <v>1977</v>
      </c>
      <c r="I13" s="106" t="s">
        <v>608</v>
      </c>
      <c r="J13" s="109">
        <v>2013</v>
      </c>
      <c r="K13" s="108"/>
      <c r="L13" s="108" t="s">
        <v>416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ht="15.75">
      <c r="A14" s="110">
        <v>4</v>
      </c>
      <c r="B14" s="117" t="s">
        <v>53</v>
      </c>
      <c r="C14" s="106">
        <v>17985</v>
      </c>
      <c r="D14" s="106" t="s">
        <v>52</v>
      </c>
      <c r="E14" s="106">
        <v>1000</v>
      </c>
      <c r="F14" s="106">
        <v>310</v>
      </c>
      <c r="G14" s="106">
        <v>62</v>
      </c>
      <c r="H14" s="106">
        <v>1977</v>
      </c>
      <c r="I14" s="106" t="s">
        <v>608</v>
      </c>
      <c r="J14" s="109">
        <v>2013</v>
      </c>
      <c r="K14" s="108" t="s">
        <v>416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ht="33" customHeight="1">
      <c r="A15" s="202" t="s">
        <v>54</v>
      </c>
      <c r="B15" s="202"/>
      <c r="C15" s="202"/>
      <c r="D15" s="202"/>
      <c r="E15" s="202"/>
      <c r="F15" s="206"/>
      <c r="G15" s="207"/>
      <c r="H15" s="207"/>
      <c r="I15" s="208"/>
      <c r="J15" s="109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15.75">
      <c r="A16" s="110">
        <v>1</v>
      </c>
      <c r="B16" s="117" t="s">
        <v>55</v>
      </c>
      <c r="C16" s="106">
        <v>35691</v>
      </c>
      <c r="D16" s="106" t="s">
        <v>56</v>
      </c>
      <c r="E16" s="106">
        <v>1800</v>
      </c>
      <c r="F16" s="106">
        <v>190</v>
      </c>
      <c r="G16" s="106">
        <v>75</v>
      </c>
      <c r="H16" s="106">
        <v>1962</v>
      </c>
      <c r="I16" s="106" t="s">
        <v>608</v>
      </c>
      <c r="J16" s="109">
        <v>2019</v>
      </c>
      <c r="K16" s="108"/>
      <c r="L16" s="108"/>
      <c r="M16" s="108"/>
      <c r="N16" s="108"/>
      <c r="O16" s="108" t="s">
        <v>400</v>
      </c>
      <c r="P16" s="108"/>
      <c r="Q16" s="108"/>
      <c r="R16" s="108"/>
      <c r="S16" s="108"/>
      <c r="T16" s="108"/>
      <c r="U16" s="108" t="s">
        <v>416</v>
      </c>
      <c r="V16" s="108"/>
    </row>
    <row r="17" spans="1:22" ht="15.75">
      <c r="A17" s="110">
        <v>2</v>
      </c>
      <c r="B17" s="117" t="s">
        <v>57</v>
      </c>
      <c r="C17" s="106">
        <v>54733</v>
      </c>
      <c r="D17" s="106" t="s">
        <v>58</v>
      </c>
      <c r="E17" s="106">
        <v>1800</v>
      </c>
      <c r="F17" s="106">
        <v>190</v>
      </c>
      <c r="G17" s="106">
        <v>75</v>
      </c>
      <c r="H17" s="106">
        <v>1964</v>
      </c>
      <c r="I17" s="106" t="s">
        <v>608</v>
      </c>
      <c r="J17" s="109">
        <v>2010</v>
      </c>
      <c r="K17" s="108"/>
      <c r="L17" s="108"/>
      <c r="M17" s="108"/>
      <c r="N17" s="108" t="s">
        <v>416</v>
      </c>
      <c r="O17" s="108"/>
      <c r="P17" s="108"/>
      <c r="Q17" s="108"/>
      <c r="R17" s="108"/>
      <c r="S17" s="108"/>
      <c r="T17" s="108"/>
      <c r="U17" s="108"/>
      <c r="V17" s="108"/>
    </row>
    <row r="18" spans="1:22" ht="15.75">
      <c r="A18" s="110">
        <v>3</v>
      </c>
      <c r="B18" s="117" t="s">
        <v>59</v>
      </c>
      <c r="C18" s="106">
        <v>44801</v>
      </c>
      <c r="D18" s="106" t="s">
        <v>60</v>
      </c>
      <c r="E18" s="106">
        <v>1800</v>
      </c>
      <c r="F18" s="106">
        <v>190</v>
      </c>
      <c r="G18" s="106">
        <v>75</v>
      </c>
      <c r="H18" s="106">
        <v>1963</v>
      </c>
      <c r="I18" s="106" t="s">
        <v>608</v>
      </c>
      <c r="J18" s="109">
        <v>2008</v>
      </c>
      <c r="K18" s="108"/>
      <c r="L18" s="108"/>
      <c r="M18" s="108"/>
      <c r="N18" s="108" t="s">
        <v>399</v>
      </c>
      <c r="O18" s="108"/>
      <c r="P18" s="108"/>
      <c r="Q18" s="108"/>
      <c r="R18" s="108"/>
      <c r="S18" s="108"/>
      <c r="T18" s="108" t="s">
        <v>416</v>
      </c>
      <c r="U18" s="108"/>
      <c r="V18" s="108"/>
    </row>
    <row r="19" spans="1:22" ht="15.75">
      <c r="A19" s="110">
        <v>4</v>
      </c>
      <c r="B19" s="117" t="s">
        <v>61</v>
      </c>
      <c r="C19" s="106">
        <v>471</v>
      </c>
      <c r="D19" s="106" t="s">
        <v>62</v>
      </c>
      <c r="E19" s="106">
        <v>1800</v>
      </c>
      <c r="F19" s="106">
        <v>190</v>
      </c>
      <c r="G19" s="106">
        <v>75</v>
      </c>
      <c r="H19" s="106">
        <v>1970</v>
      </c>
      <c r="I19" s="106" t="s">
        <v>608</v>
      </c>
      <c r="J19" s="109">
        <v>2013</v>
      </c>
      <c r="K19" s="108"/>
      <c r="L19" s="108"/>
      <c r="M19" s="108"/>
      <c r="N19" s="108" t="s">
        <v>416</v>
      </c>
      <c r="O19" s="108"/>
      <c r="P19" s="108"/>
      <c r="Q19" s="108"/>
      <c r="R19" s="108"/>
      <c r="S19" s="108"/>
      <c r="T19" s="108"/>
      <c r="U19" s="108"/>
      <c r="V19" s="108"/>
    </row>
    <row r="20" spans="1:22" ht="15.75">
      <c r="A20" s="110">
        <v>5</v>
      </c>
      <c r="B20" s="117" t="s">
        <v>63</v>
      </c>
      <c r="C20" s="106">
        <v>54832</v>
      </c>
      <c r="D20" s="106" t="s">
        <v>64</v>
      </c>
      <c r="E20" s="106">
        <v>1800</v>
      </c>
      <c r="F20" s="106">
        <v>190</v>
      </c>
      <c r="G20" s="106">
        <v>75</v>
      </c>
      <c r="H20" s="106">
        <v>1964</v>
      </c>
      <c r="I20" s="106" t="s">
        <v>608</v>
      </c>
      <c r="J20" s="109">
        <v>2010</v>
      </c>
      <c r="K20" s="108"/>
      <c r="L20" s="108"/>
      <c r="M20" s="108"/>
      <c r="N20" s="108" t="s">
        <v>416</v>
      </c>
      <c r="O20" s="108"/>
      <c r="P20" s="108"/>
      <c r="Q20" s="108"/>
      <c r="R20" s="108"/>
      <c r="S20" s="108"/>
      <c r="T20" s="108"/>
      <c r="U20" s="108"/>
      <c r="V20" s="108"/>
    </row>
    <row r="21" spans="1:22" ht="15.75">
      <c r="A21" s="110">
        <v>6</v>
      </c>
      <c r="B21" s="117" t="s">
        <v>65</v>
      </c>
      <c r="C21" s="106">
        <v>673</v>
      </c>
      <c r="D21" s="106" t="s">
        <v>66</v>
      </c>
      <c r="E21" s="106">
        <v>1000</v>
      </c>
      <c r="F21" s="106">
        <v>310</v>
      </c>
      <c r="G21" s="106">
        <v>62</v>
      </c>
      <c r="H21" s="106">
        <v>1966</v>
      </c>
      <c r="I21" s="106" t="s">
        <v>608</v>
      </c>
      <c r="J21" s="109">
        <v>2012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 t="s">
        <v>416</v>
      </c>
      <c r="U21" s="108"/>
      <c r="V21" s="108"/>
    </row>
    <row r="22" spans="1:22" ht="15.75">
      <c r="A22" s="110">
        <v>7</v>
      </c>
      <c r="B22" s="117" t="s">
        <v>67</v>
      </c>
      <c r="C22" s="106">
        <v>2353</v>
      </c>
      <c r="D22" s="106" t="s">
        <v>68</v>
      </c>
      <c r="E22" s="106">
        <v>1000</v>
      </c>
      <c r="F22" s="106">
        <v>310</v>
      </c>
      <c r="G22" s="106">
        <v>62</v>
      </c>
      <c r="H22" s="106">
        <v>1978</v>
      </c>
      <c r="I22" s="106" t="s">
        <v>608</v>
      </c>
      <c r="J22" s="109">
        <v>2014</v>
      </c>
      <c r="K22" s="108"/>
      <c r="L22" s="108"/>
      <c r="M22" s="108"/>
      <c r="N22" s="108" t="s">
        <v>416</v>
      </c>
      <c r="O22" s="108"/>
      <c r="P22" s="108"/>
      <c r="Q22" s="108"/>
      <c r="R22" s="108"/>
      <c r="S22" s="108"/>
      <c r="T22" s="108" t="s">
        <v>400</v>
      </c>
      <c r="U22" s="108"/>
      <c r="V22" s="108"/>
    </row>
    <row r="23" spans="1:22" ht="15.75">
      <c r="A23" s="110">
        <v>8</v>
      </c>
      <c r="B23" s="117" t="s">
        <v>69</v>
      </c>
      <c r="C23" s="106">
        <v>46285</v>
      </c>
      <c r="D23" s="106" t="s">
        <v>70</v>
      </c>
      <c r="E23" s="106">
        <v>1800</v>
      </c>
      <c r="F23" s="106">
        <v>190</v>
      </c>
      <c r="G23" s="106">
        <v>75</v>
      </c>
      <c r="H23" s="106">
        <v>1964</v>
      </c>
      <c r="I23" s="106" t="s">
        <v>608</v>
      </c>
      <c r="J23" s="109">
        <v>2010</v>
      </c>
      <c r="K23" s="108"/>
      <c r="L23" s="108"/>
      <c r="M23" s="108"/>
      <c r="N23" s="108" t="s">
        <v>416</v>
      </c>
      <c r="O23" s="108"/>
      <c r="P23" s="108"/>
      <c r="Q23" s="108"/>
      <c r="R23" s="108"/>
      <c r="S23" s="108"/>
      <c r="T23" s="108"/>
      <c r="U23" s="108"/>
      <c r="V23" s="108"/>
    </row>
    <row r="24" spans="1:22" ht="15.75">
      <c r="A24" s="110">
        <v>9</v>
      </c>
      <c r="B24" s="117" t="s">
        <v>71</v>
      </c>
      <c r="C24" s="106">
        <v>571</v>
      </c>
      <c r="D24" s="106" t="s">
        <v>72</v>
      </c>
      <c r="E24" s="106">
        <v>1000</v>
      </c>
      <c r="F24" s="106">
        <v>310</v>
      </c>
      <c r="G24" s="106">
        <v>62</v>
      </c>
      <c r="H24" s="106">
        <v>1965</v>
      </c>
      <c r="I24" s="106" t="s">
        <v>608</v>
      </c>
      <c r="J24" s="109">
        <v>2010</v>
      </c>
      <c r="K24" s="108"/>
      <c r="L24" s="108"/>
      <c r="M24" s="108"/>
      <c r="N24" s="108" t="s">
        <v>416</v>
      </c>
      <c r="O24" s="108"/>
      <c r="P24" s="108"/>
      <c r="Q24" s="108"/>
      <c r="R24" s="108"/>
      <c r="S24" s="108"/>
      <c r="T24" s="108"/>
      <c r="U24" s="108"/>
      <c r="V24" s="108"/>
    </row>
    <row r="25" spans="1:22" ht="15.75">
      <c r="A25" s="110">
        <v>10</v>
      </c>
      <c r="B25" s="117" t="s">
        <v>73</v>
      </c>
      <c r="C25" s="106">
        <v>6683</v>
      </c>
      <c r="D25" s="106" t="s">
        <v>74</v>
      </c>
      <c r="E25" s="106">
        <v>1000</v>
      </c>
      <c r="F25" s="106">
        <v>310</v>
      </c>
      <c r="G25" s="106">
        <v>62</v>
      </c>
      <c r="H25" s="106">
        <v>1969</v>
      </c>
      <c r="I25" s="106" t="s">
        <v>608</v>
      </c>
      <c r="J25" s="109">
        <v>2013</v>
      </c>
      <c r="K25" s="108"/>
      <c r="L25" s="108"/>
      <c r="M25" s="108"/>
      <c r="N25" s="108"/>
      <c r="O25" s="108"/>
      <c r="P25" s="108"/>
      <c r="Q25" s="108"/>
      <c r="R25" s="108"/>
      <c r="S25" s="108" t="s">
        <v>400</v>
      </c>
      <c r="T25" s="108"/>
      <c r="U25" s="108"/>
      <c r="V25" s="108"/>
    </row>
    <row r="26" spans="1:22" ht="15.75">
      <c r="A26" s="110">
        <v>11</v>
      </c>
      <c r="B26" s="117" t="s">
        <v>75</v>
      </c>
      <c r="C26" s="106">
        <v>86772</v>
      </c>
      <c r="D26" s="106" t="s">
        <v>76</v>
      </c>
      <c r="E26" s="106">
        <v>800</v>
      </c>
      <c r="F26" s="106">
        <v>310</v>
      </c>
      <c r="G26" s="106">
        <v>62</v>
      </c>
      <c r="H26" s="106">
        <v>1964</v>
      </c>
      <c r="I26" s="106" t="s">
        <v>608</v>
      </c>
      <c r="J26" s="109">
        <v>2009</v>
      </c>
      <c r="K26" s="108"/>
      <c r="L26" s="108"/>
      <c r="M26" s="108"/>
      <c r="N26" s="108"/>
      <c r="O26" s="108"/>
      <c r="P26" s="108"/>
      <c r="Q26" s="108"/>
      <c r="R26" s="108"/>
      <c r="S26" s="108" t="s">
        <v>416</v>
      </c>
      <c r="T26" s="108"/>
      <c r="U26" s="108"/>
      <c r="V26" s="108"/>
    </row>
    <row r="27" spans="1:22" ht="15.75">
      <c r="A27" s="110">
        <v>12</v>
      </c>
      <c r="B27" s="117" t="s">
        <v>77</v>
      </c>
      <c r="C27" s="106">
        <v>677</v>
      </c>
      <c r="D27" s="106" t="s">
        <v>78</v>
      </c>
      <c r="E27" s="106">
        <v>800</v>
      </c>
      <c r="F27" s="106">
        <v>310</v>
      </c>
      <c r="G27" s="106">
        <v>62</v>
      </c>
      <c r="H27" s="106">
        <v>1962</v>
      </c>
      <c r="I27" s="106" t="s">
        <v>608</v>
      </c>
      <c r="J27" s="109">
        <v>2008</v>
      </c>
      <c r="K27" s="108"/>
      <c r="L27" s="108"/>
      <c r="M27" s="108" t="s">
        <v>416</v>
      </c>
      <c r="N27" s="108"/>
      <c r="O27" s="108"/>
      <c r="P27" s="108"/>
      <c r="Q27" s="108"/>
      <c r="R27" s="108"/>
      <c r="S27" s="108" t="s">
        <v>399</v>
      </c>
      <c r="T27" s="108"/>
      <c r="U27" s="108"/>
      <c r="V27" s="108"/>
    </row>
    <row r="28" spans="1:22" ht="15.75">
      <c r="A28" s="110">
        <v>13</v>
      </c>
      <c r="B28" s="117" t="s">
        <v>79</v>
      </c>
      <c r="C28" s="106">
        <v>6759</v>
      </c>
      <c r="D28" s="106" t="s">
        <v>80</v>
      </c>
      <c r="E28" s="106">
        <v>1000</v>
      </c>
      <c r="F28" s="106">
        <v>310</v>
      </c>
      <c r="G28" s="106">
        <v>62</v>
      </c>
      <c r="H28" s="106">
        <v>1970</v>
      </c>
      <c r="I28" s="106" t="s">
        <v>608</v>
      </c>
      <c r="J28" s="109">
        <v>2013</v>
      </c>
      <c r="K28" s="108"/>
      <c r="L28" s="108"/>
      <c r="M28" s="108"/>
      <c r="N28" s="108"/>
      <c r="O28" s="108"/>
      <c r="P28" s="108"/>
      <c r="Q28" s="108"/>
      <c r="R28" s="108"/>
      <c r="S28" s="108" t="s">
        <v>416</v>
      </c>
      <c r="T28" s="108"/>
      <c r="U28" s="108"/>
      <c r="V28" s="108"/>
    </row>
    <row r="29" spans="1:22" ht="15.75">
      <c r="A29" s="110">
        <v>14</v>
      </c>
      <c r="B29" s="117" t="s">
        <v>81</v>
      </c>
      <c r="C29" s="106" t="s">
        <v>82</v>
      </c>
      <c r="D29" s="106" t="s">
        <v>83</v>
      </c>
      <c r="E29" s="106">
        <v>1000</v>
      </c>
      <c r="F29" s="106">
        <v>310</v>
      </c>
      <c r="G29" s="106">
        <v>62</v>
      </c>
      <c r="H29" s="106">
        <v>1963</v>
      </c>
      <c r="I29" s="106" t="s">
        <v>608</v>
      </c>
      <c r="J29" s="109">
        <v>2008</v>
      </c>
      <c r="K29" s="108"/>
      <c r="L29" s="108"/>
      <c r="M29" s="108"/>
      <c r="N29" s="108" t="s">
        <v>416</v>
      </c>
      <c r="O29" s="108"/>
      <c r="P29" s="108"/>
      <c r="Q29" s="108"/>
      <c r="R29" s="108"/>
      <c r="S29" s="108"/>
      <c r="T29" s="108" t="s">
        <v>399</v>
      </c>
      <c r="U29" s="108"/>
      <c r="V29" s="108"/>
    </row>
    <row r="30" spans="1:22" ht="15.75">
      <c r="A30" s="110">
        <v>15</v>
      </c>
      <c r="B30" s="117" t="s">
        <v>84</v>
      </c>
      <c r="C30" s="106">
        <v>2347</v>
      </c>
      <c r="D30" s="106" t="s">
        <v>85</v>
      </c>
      <c r="E30" s="106">
        <v>1000</v>
      </c>
      <c r="F30" s="106">
        <v>310</v>
      </c>
      <c r="G30" s="106">
        <v>62</v>
      </c>
      <c r="H30" s="106">
        <v>1966</v>
      </c>
      <c r="I30" s="106" t="s">
        <v>608</v>
      </c>
      <c r="J30" s="109">
        <v>2011</v>
      </c>
      <c r="K30" s="108"/>
      <c r="L30" s="108" t="s">
        <v>400</v>
      </c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.75">
      <c r="A31" s="110">
        <v>16</v>
      </c>
      <c r="B31" s="117" t="s">
        <v>86</v>
      </c>
      <c r="C31" s="106">
        <v>2026</v>
      </c>
      <c r="D31" s="106" t="s">
        <v>85</v>
      </c>
      <c r="E31" s="106">
        <v>1000</v>
      </c>
      <c r="F31" s="106">
        <v>310</v>
      </c>
      <c r="G31" s="106">
        <v>62</v>
      </c>
      <c r="H31" s="106">
        <v>1966</v>
      </c>
      <c r="I31" s="106" t="s">
        <v>608</v>
      </c>
      <c r="J31" s="109">
        <v>2012</v>
      </c>
      <c r="K31" s="108"/>
      <c r="L31" s="108"/>
      <c r="M31" s="108" t="s">
        <v>416</v>
      </c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15.75">
      <c r="A32" s="110">
        <v>17</v>
      </c>
      <c r="B32" s="117" t="s">
        <v>87</v>
      </c>
      <c r="C32" s="106">
        <v>2056</v>
      </c>
      <c r="D32" s="106" t="s">
        <v>88</v>
      </c>
      <c r="E32" s="106">
        <v>1000</v>
      </c>
      <c r="F32" s="106">
        <v>310</v>
      </c>
      <c r="G32" s="106">
        <v>62</v>
      </c>
      <c r="H32" s="106">
        <v>1966</v>
      </c>
      <c r="I32" s="106" t="s">
        <v>608</v>
      </c>
      <c r="J32" s="109">
        <v>2013</v>
      </c>
      <c r="K32" s="108"/>
      <c r="L32" s="108" t="s">
        <v>416</v>
      </c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ht="15.75">
      <c r="A33" s="110">
        <v>18</v>
      </c>
      <c r="B33" s="117" t="s">
        <v>89</v>
      </c>
      <c r="C33" s="106">
        <v>2026</v>
      </c>
      <c r="D33" s="106" t="s">
        <v>88</v>
      </c>
      <c r="E33" s="106">
        <v>1000</v>
      </c>
      <c r="F33" s="106">
        <v>310</v>
      </c>
      <c r="G33" s="106">
        <v>62</v>
      </c>
      <c r="H33" s="106">
        <v>1966</v>
      </c>
      <c r="I33" s="106" t="s">
        <v>608</v>
      </c>
      <c r="J33" s="109">
        <v>2012</v>
      </c>
      <c r="K33" s="108"/>
      <c r="L33" s="108"/>
      <c r="M33" s="108" t="s">
        <v>416</v>
      </c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 ht="15.75">
      <c r="A34" s="110">
        <v>19</v>
      </c>
      <c r="B34" s="117" t="s">
        <v>90</v>
      </c>
      <c r="C34" s="106">
        <v>15722</v>
      </c>
      <c r="D34" s="106" t="s">
        <v>91</v>
      </c>
      <c r="E34" s="106">
        <v>1000</v>
      </c>
      <c r="F34" s="106">
        <v>310</v>
      </c>
      <c r="G34" s="106">
        <v>62</v>
      </c>
      <c r="H34" s="106">
        <v>1982</v>
      </c>
      <c r="I34" s="106" t="s">
        <v>608</v>
      </c>
      <c r="J34" s="109">
        <v>2012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 t="s">
        <v>416</v>
      </c>
      <c r="V34" s="108"/>
    </row>
    <row r="35" spans="1:22" ht="15.75">
      <c r="A35" s="110">
        <v>20</v>
      </c>
      <c r="B35" s="117" t="s">
        <v>92</v>
      </c>
      <c r="C35" s="106">
        <v>2082</v>
      </c>
      <c r="D35" s="106" t="s">
        <v>93</v>
      </c>
      <c r="E35" s="106">
        <v>1000</v>
      </c>
      <c r="F35" s="106">
        <v>310</v>
      </c>
      <c r="G35" s="106">
        <v>62</v>
      </c>
      <c r="H35" s="106">
        <v>1966</v>
      </c>
      <c r="I35" s="106" t="s">
        <v>608</v>
      </c>
      <c r="J35" s="109">
        <v>2009</v>
      </c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 t="s">
        <v>416</v>
      </c>
    </row>
    <row r="36" spans="1:22" ht="15.75">
      <c r="A36" s="110">
        <v>21</v>
      </c>
      <c r="B36" s="117" t="s">
        <v>94</v>
      </c>
      <c r="C36" s="106">
        <v>2341</v>
      </c>
      <c r="D36" s="106" t="s">
        <v>95</v>
      </c>
      <c r="E36" s="106">
        <v>1000</v>
      </c>
      <c r="F36" s="106">
        <v>310</v>
      </c>
      <c r="G36" s="106">
        <v>62</v>
      </c>
      <c r="H36" s="106">
        <v>1969</v>
      </c>
      <c r="I36" s="106" t="s">
        <v>608</v>
      </c>
      <c r="J36" s="109">
        <v>2009</v>
      </c>
      <c r="K36" s="108"/>
      <c r="L36" s="108"/>
      <c r="M36" s="108"/>
      <c r="N36" s="108"/>
      <c r="O36" s="108"/>
      <c r="P36" s="108"/>
      <c r="Q36" s="108"/>
      <c r="R36" s="108"/>
      <c r="S36" s="108" t="s">
        <v>416</v>
      </c>
      <c r="T36" s="108"/>
      <c r="U36" s="108"/>
      <c r="V36" s="108"/>
    </row>
    <row r="37" spans="1:22" ht="15.75">
      <c r="A37" s="110">
        <v>22</v>
      </c>
      <c r="B37" s="117" t="s">
        <v>96</v>
      </c>
      <c r="C37" s="106">
        <v>2041</v>
      </c>
      <c r="D37" s="106" t="s">
        <v>95</v>
      </c>
      <c r="E37" s="106">
        <v>1000</v>
      </c>
      <c r="F37" s="106">
        <v>310</v>
      </c>
      <c r="G37" s="106">
        <v>62</v>
      </c>
      <c r="H37" s="106">
        <v>1969</v>
      </c>
      <c r="I37" s="106" t="s">
        <v>608</v>
      </c>
      <c r="J37" s="109">
        <v>2009</v>
      </c>
      <c r="K37" s="108"/>
      <c r="L37" s="108"/>
      <c r="M37" s="108"/>
      <c r="N37" s="108" t="s">
        <v>416</v>
      </c>
      <c r="O37" s="108"/>
      <c r="P37" s="108"/>
      <c r="Q37" s="108"/>
      <c r="R37" s="108"/>
      <c r="S37" s="108"/>
      <c r="T37" s="108"/>
      <c r="U37" s="108"/>
      <c r="V37" s="108"/>
    </row>
    <row r="38" spans="1:22" ht="15.75">
      <c r="A38" s="110">
        <v>23</v>
      </c>
      <c r="B38" s="117" t="s">
        <v>97</v>
      </c>
      <c r="C38" s="106">
        <v>2038</v>
      </c>
      <c r="D38" s="106" t="s">
        <v>98</v>
      </c>
      <c r="E38" s="106">
        <v>1000</v>
      </c>
      <c r="F38" s="106">
        <v>310</v>
      </c>
      <c r="G38" s="106">
        <v>62</v>
      </c>
      <c r="H38" s="106">
        <v>1967</v>
      </c>
      <c r="I38" s="106" t="s">
        <v>608</v>
      </c>
      <c r="J38" s="109">
        <v>2011</v>
      </c>
      <c r="K38" s="108"/>
      <c r="L38" s="108" t="s">
        <v>400</v>
      </c>
      <c r="M38" s="108"/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2" ht="15.75">
      <c r="A39" s="110">
        <v>24</v>
      </c>
      <c r="B39" s="117" t="s">
        <v>99</v>
      </c>
      <c r="C39" s="106">
        <v>2061</v>
      </c>
      <c r="D39" s="106" t="s">
        <v>98</v>
      </c>
      <c r="E39" s="106">
        <v>1000</v>
      </c>
      <c r="F39" s="106">
        <v>310</v>
      </c>
      <c r="G39" s="106">
        <v>62</v>
      </c>
      <c r="H39" s="106">
        <v>1967</v>
      </c>
      <c r="I39" s="106" t="s">
        <v>608</v>
      </c>
      <c r="J39" s="109">
        <v>2011</v>
      </c>
      <c r="K39" s="108"/>
      <c r="L39" s="108"/>
      <c r="M39" s="108"/>
      <c r="N39" s="108" t="s">
        <v>400</v>
      </c>
      <c r="O39" s="108"/>
      <c r="P39" s="108"/>
      <c r="Q39" s="108"/>
      <c r="R39" s="108"/>
      <c r="S39" s="108"/>
      <c r="T39" s="108"/>
      <c r="U39" s="108"/>
      <c r="V39" s="108"/>
    </row>
    <row r="40" spans="1:22" ht="15.75">
      <c r="A40" s="110">
        <v>25</v>
      </c>
      <c r="B40" s="117" t="s">
        <v>100</v>
      </c>
      <c r="C40" s="106">
        <v>2446</v>
      </c>
      <c r="D40" s="106" t="s">
        <v>101</v>
      </c>
      <c r="E40" s="106">
        <v>1000</v>
      </c>
      <c r="F40" s="106">
        <v>310</v>
      </c>
      <c r="G40" s="106">
        <v>62</v>
      </c>
      <c r="H40" s="106">
        <v>1967</v>
      </c>
      <c r="I40" s="106" t="s">
        <v>608</v>
      </c>
      <c r="J40" s="109">
        <v>2008</v>
      </c>
      <c r="K40" s="108" t="s">
        <v>416</v>
      </c>
      <c r="L40" s="108"/>
      <c r="M40" s="108"/>
      <c r="N40" s="108"/>
      <c r="O40" s="108"/>
      <c r="P40" s="108"/>
      <c r="Q40" s="108" t="s">
        <v>399</v>
      </c>
      <c r="R40" s="108"/>
      <c r="S40" s="108"/>
      <c r="T40" s="108"/>
      <c r="U40" s="108"/>
      <c r="V40" s="108"/>
    </row>
    <row r="41" spans="1:22" ht="15.75">
      <c r="A41" s="110">
        <v>26</v>
      </c>
      <c r="B41" s="117" t="s">
        <v>102</v>
      </c>
      <c r="C41" s="106">
        <v>2064</v>
      </c>
      <c r="D41" s="106" t="s">
        <v>101</v>
      </c>
      <c r="E41" s="106">
        <v>1000</v>
      </c>
      <c r="F41" s="106">
        <v>310</v>
      </c>
      <c r="G41" s="106">
        <v>62</v>
      </c>
      <c r="H41" s="106">
        <v>1967</v>
      </c>
      <c r="I41" s="106" t="s">
        <v>608</v>
      </c>
      <c r="J41" s="109">
        <v>2008</v>
      </c>
      <c r="K41" s="108"/>
      <c r="L41" s="108"/>
      <c r="M41" s="108" t="s">
        <v>399</v>
      </c>
      <c r="N41" s="108"/>
      <c r="O41" s="108"/>
      <c r="P41" s="108"/>
      <c r="Q41" s="108"/>
      <c r="R41" s="108"/>
      <c r="S41" s="108" t="s">
        <v>416</v>
      </c>
      <c r="T41" s="108"/>
      <c r="U41" s="108"/>
      <c r="V41" s="108"/>
    </row>
    <row r="42" spans="1:22" ht="15.75">
      <c r="A42" s="110">
        <v>27</v>
      </c>
      <c r="B42" s="117" t="s">
        <v>103</v>
      </c>
      <c r="C42" s="106">
        <v>2346</v>
      </c>
      <c r="D42" s="106" t="s">
        <v>104</v>
      </c>
      <c r="E42" s="106">
        <v>1000</v>
      </c>
      <c r="F42" s="106">
        <v>310</v>
      </c>
      <c r="G42" s="106">
        <v>62</v>
      </c>
      <c r="H42" s="106">
        <v>1966</v>
      </c>
      <c r="I42" s="106" t="s">
        <v>608</v>
      </c>
      <c r="J42" s="109">
        <v>2018</v>
      </c>
      <c r="K42" s="108"/>
      <c r="L42" s="108"/>
      <c r="M42" s="108"/>
      <c r="N42" s="108"/>
      <c r="O42" s="108"/>
      <c r="P42" s="108"/>
      <c r="Q42" s="108"/>
      <c r="R42" s="108" t="s">
        <v>416</v>
      </c>
      <c r="S42" s="108"/>
      <c r="T42" s="108"/>
      <c r="U42" s="108"/>
      <c r="V42" s="108"/>
    </row>
    <row r="43" spans="1:22" ht="15.75">
      <c r="A43" s="110">
        <v>28</v>
      </c>
      <c r="B43" s="117" t="s">
        <v>105</v>
      </c>
      <c r="C43" s="106">
        <v>2024</v>
      </c>
      <c r="D43" s="106" t="s">
        <v>104</v>
      </c>
      <c r="E43" s="106">
        <v>1000</v>
      </c>
      <c r="F43" s="106">
        <v>310</v>
      </c>
      <c r="G43" s="106">
        <v>62</v>
      </c>
      <c r="H43" s="106">
        <v>1966</v>
      </c>
      <c r="I43" s="106" t="s">
        <v>608</v>
      </c>
      <c r="J43" s="109">
        <v>2018</v>
      </c>
      <c r="K43" s="108"/>
      <c r="L43" s="108"/>
      <c r="M43" s="108"/>
      <c r="N43" s="108"/>
      <c r="O43" s="108"/>
      <c r="P43" s="108"/>
      <c r="Q43" s="108"/>
      <c r="R43" s="108"/>
      <c r="S43" s="108" t="s">
        <v>416</v>
      </c>
      <c r="T43" s="108"/>
      <c r="U43" s="108"/>
      <c r="V43" s="108"/>
    </row>
    <row r="44" spans="1:22" ht="15.75">
      <c r="A44" s="110">
        <v>29</v>
      </c>
      <c r="B44" s="117" t="s">
        <v>106</v>
      </c>
      <c r="C44" s="106">
        <v>2080</v>
      </c>
      <c r="D44" s="106" t="s">
        <v>107</v>
      </c>
      <c r="E44" s="106">
        <v>1000</v>
      </c>
      <c r="F44" s="106">
        <v>310</v>
      </c>
      <c r="G44" s="106">
        <v>62</v>
      </c>
      <c r="H44" s="106">
        <v>1967</v>
      </c>
      <c r="I44" s="106" t="s">
        <v>608</v>
      </c>
      <c r="J44" s="109">
        <v>2011</v>
      </c>
      <c r="K44" s="108"/>
      <c r="L44" s="108"/>
      <c r="M44" s="108"/>
      <c r="N44" s="108"/>
      <c r="O44" s="108"/>
      <c r="P44" s="108"/>
      <c r="Q44" s="108"/>
      <c r="R44" s="108" t="s">
        <v>400</v>
      </c>
      <c r="S44" s="108"/>
      <c r="T44" s="108"/>
      <c r="U44" s="108"/>
      <c r="V44" s="108"/>
    </row>
    <row r="45" spans="1:22" ht="15.75">
      <c r="A45" s="110">
        <v>30</v>
      </c>
      <c r="B45" s="117" t="s">
        <v>108</v>
      </c>
      <c r="C45" s="106">
        <v>2330</v>
      </c>
      <c r="D45" s="106" t="s">
        <v>107</v>
      </c>
      <c r="E45" s="106">
        <v>1000</v>
      </c>
      <c r="F45" s="106">
        <v>310</v>
      </c>
      <c r="G45" s="106">
        <v>62</v>
      </c>
      <c r="H45" s="106">
        <v>1967</v>
      </c>
      <c r="I45" s="106" t="s">
        <v>608</v>
      </c>
      <c r="J45" s="109">
        <v>2011</v>
      </c>
      <c r="K45" s="108"/>
      <c r="L45" s="108"/>
      <c r="M45" s="108"/>
      <c r="N45" s="108"/>
      <c r="O45" s="108"/>
      <c r="P45" s="108"/>
      <c r="Q45" s="108"/>
      <c r="R45" s="108"/>
      <c r="S45" s="108" t="s">
        <v>400</v>
      </c>
      <c r="T45" s="108"/>
      <c r="U45" s="108"/>
      <c r="V45" s="108"/>
    </row>
    <row r="46" spans="1:22" ht="15.75">
      <c r="A46" s="110">
        <v>31</v>
      </c>
      <c r="B46" s="117" t="s">
        <v>109</v>
      </c>
      <c r="C46" s="106">
        <v>65686</v>
      </c>
      <c r="D46" s="106" t="s">
        <v>110</v>
      </c>
      <c r="E46" s="106">
        <v>1000</v>
      </c>
      <c r="F46" s="106">
        <v>310</v>
      </c>
      <c r="G46" s="106">
        <v>62</v>
      </c>
      <c r="H46" s="106">
        <v>1962</v>
      </c>
      <c r="I46" s="106" t="s">
        <v>608</v>
      </c>
      <c r="J46" s="109">
        <v>2007</v>
      </c>
      <c r="K46" s="108"/>
      <c r="L46" s="108"/>
      <c r="M46" s="108" t="s">
        <v>416</v>
      </c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2" ht="15.75">
      <c r="A47" s="110">
        <v>32</v>
      </c>
      <c r="B47" s="117" t="s">
        <v>111</v>
      </c>
      <c r="C47" s="106">
        <v>15054</v>
      </c>
      <c r="D47" s="106" t="s">
        <v>112</v>
      </c>
      <c r="E47" s="106">
        <v>1000</v>
      </c>
      <c r="F47" s="106">
        <v>310</v>
      </c>
      <c r="G47" s="106">
        <v>62</v>
      </c>
      <c r="H47" s="106">
        <v>1977</v>
      </c>
      <c r="I47" s="106" t="s">
        <v>608</v>
      </c>
      <c r="J47" s="109">
        <v>2009</v>
      </c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 t="s">
        <v>416</v>
      </c>
    </row>
    <row r="48" spans="1:22" ht="18.75">
      <c r="A48" s="202" t="s">
        <v>114</v>
      </c>
      <c r="B48" s="202"/>
      <c r="C48" s="202"/>
      <c r="D48" s="202"/>
      <c r="E48" s="202"/>
      <c r="F48" s="213" t="s">
        <v>37</v>
      </c>
      <c r="G48" s="214"/>
      <c r="H48" s="215"/>
      <c r="I48" s="106"/>
      <c r="J48" s="109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  <row r="49" spans="1:22" ht="15.75">
      <c r="A49" s="110">
        <v>1</v>
      </c>
      <c r="B49" s="117" t="s">
        <v>115</v>
      </c>
      <c r="C49" s="106">
        <v>923050</v>
      </c>
      <c r="D49" s="106" t="s">
        <v>116</v>
      </c>
      <c r="E49" s="106"/>
      <c r="F49" s="106">
        <v>310</v>
      </c>
      <c r="G49" s="106">
        <v>100</v>
      </c>
      <c r="H49" s="106">
        <v>1968</v>
      </c>
      <c r="I49" s="106" t="s">
        <v>285</v>
      </c>
      <c r="J49" s="109">
        <v>2018</v>
      </c>
      <c r="K49" s="108"/>
      <c r="L49" s="108"/>
      <c r="M49" s="108"/>
      <c r="N49" s="108"/>
      <c r="O49" s="108"/>
      <c r="P49" s="108"/>
      <c r="Q49" s="108" t="s">
        <v>400</v>
      </c>
      <c r="R49" s="108"/>
      <c r="S49" s="108"/>
      <c r="T49" s="108"/>
      <c r="U49" s="108"/>
      <c r="V49" s="108"/>
    </row>
    <row r="50" spans="1:22" ht="15.75">
      <c r="A50" s="110">
        <v>2</v>
      </c>
      <c r="B50" s="117" t="s">
        <v>117</v>
      </c>
      <c r="C50" s="106">
        <v>868010</v>
      </c>
      <c r="D50" s="106" t="s">
        <v>118</v>
      </c>
      <c r="E50" s="106"/>
      <c r="F50" s="106">
        <v>310</v>
      </c>
      <c r="G50" s="106">
        <v>100</v>
      </c>
      <c r="H50" s="106">
        <v>1967</v>
      </c>
      <c r="I50" s="106" t="s">
        <v>285</v>
      </c>
      <c r="J50" s="109">
        <v>2014</v>
      </c>
      <c r="K50" s="108"/>
      <c r="L50" s="108"/>
      <c r="M50" s="108"/>
      <c r="N50" s="108"/>
      <c r="O50" s="108"/>
      <c r="P50" s="108"/>
      <c r="Q50" s="108"/>
      <c r="R50" s="108"/>
      <c r="S50" s="108"/>
      <c r="T50" s="108" t="s">
        <v>399</v>
      </c>
      <c r="U50" s="108"/>
      <c r="V50" s="108"/>
    </row>
    <row r="51" spans="1:22" ht="15.75">
      <c r="A51" s="110">
        <v>3</v>
      </c>
      <c r="B51" s="117" t="s">
        <v>119</v>
      </c>
      <c r="C51" s="106">
        <v>868017</v>
      </c>
      <c r="D51" s="106" t="s">
        <v>120</v>
      </c>
      <c r="E51" s="106"/>
      <c r="F51" s="106">
        <v>310</v>
      </c>
      <c r="G51" s="106">
        <v>100</v>
      </c>
      <c r="H51" s="106">
        <v>1969</v>
      </c>
      <c r="I51" s="106" t="s">
        <v>285</v>
      </c>
      <c r="J51" s="109">
        <v>2016</v>
      </c>
      <c r="K51" s="108"/>
      <c r="L51" s="108"/>
      <c r="M51" s="108"/>
      <c r="N51" s="108"/>
      <c r="O51" s="108"/>
      <c r="P51" s="108"/>
      <c r="Q51" s="108"/>
      <c r="R51" s="108" t="s">
        <v>400</v>
      </c>
      <c r="S51" s="108"/>
      <c r="T51" s="108"/>
      <c r="U51" s="108"/>
      <c r="V51" s="108"/>
    </row>
    <row r="52" spans="1:22" ht="15.75">
      <c r="A52" s="110">
        <v>4</v>
      </c>
      <c r="B52" s="117" t="s">
        <v>121</v>
      </c>
      <c r="C52" s="106">
        <v>899862</v>
      </c>
      <c r="D52" s="106" t="s">
        <v>122</v>
      </c>
      <c r="E52" s="106"/>
      <c r="F52" s="106">
        <v>310</v>
      </c>
      <c r="G52" s="106">
        <v>100</v>
      </c>
      <c r="H52" s="106">
        <v>1968</v>
      </c>
      <c r="I52" s="106" t="s">
        <v>285</v>
      </c>
      <c r="J52" s="109">
        <v>2018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 t="s">
        <v>400</v>
      </c>
      <c r="V52" s="108"/>
    </row>
    <row r="53" spans="1:22" ht="15.75">
      <c r="A53" s="110">
        <v>5</v>
      </c>
      <c r="B53" s="117" t="s">
        <v>123</v>
      </c>
      <c r="C53" s="106">
        <v>820434</v>
      </c>
      <c r="D53" s="106" t="s">
        <v>124</v>
      </c>
      <c r="E53" s="106"/>
      <c r="F53" s="106">
        <v>310</v>
      </c>
      <c r="G53" s="106">
        <v>100</v>
      </c>
      <c r="H53" s="106">
        <v>1968</v>
      </c>
      <c r="I53" s="106" t="s">
        <v>285</v>
      </c>
      <c r="J53" s="109">
        <v>2018</v>
      </c>
      <c r="K53" s="108"/>
      <c r="L53" s="108"/>
      <c r="M53" s="108"/>
      <c r="N53" s="108"/>
      <c r="O53" s="108" t="s">
        <v>400</v>
      </c>
      <c r="P53" s="108"/>
      <c r="Q53" s="108"/>
      <c r="R53" s="108"/>
      <c r="S53" s="108"/>
      <c r="T53" s="108"/>
      <c r="U53" s="108"/>
      <c r="V53" s="108"/>
    </row>
    <row r="54" spans="1:22" ht="15.75">
      <c r="A54" s="110">
        <v>6</v>
      </c>
      <c r="B54" s="117" t="s">
        <v>125</v>
      </c>
      <c r="C54" s="106">
        <v>868013</v>
      </c>
      <c r="D54" s="106" t="s">
        <v>126</v>
      </c>
      <c r="E54" s="106"/>
      <c r="F54" s="106">
        <v>310</v>
      </c>
      <c r="G54" s="106">
        <v>100</v>
      </c>
      <c r="H54" s="106">
        <v>1968</v>
      </c>
      <c r="I54" s="106" t="s">
        <v>285</v>
      </c>
      <c r="J54" s="109">
        <v>2018</v>
      </c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 t="s">
        <v>400</v>
      </c>
    </row>
    <row r="55" spans="1:22" ht="15.75">
      <c r="A55" s="110">
        <v>7</v>
      </c>
      <c r="B55" s="117" t="s">
        <v>127</v>
      </c>
      <c r="C55" s="106">
        <v>868011</v>
      </c>
      <c r="D55" s="106" t="s">
        <v>128</v>
      </c>
      <c r="E55" s="106"/>
      <c r="F55" s="106">
        <v>310</v>
      </c>
      <c r="G55" s="106">
        <v>100</v>
      </c>
      <c r="H55" s="106">
        <v>1968</v>
      </c>
      <c r="I55" s="106" t="s">
        <v>285</v>
      </c>
      <c r="J55" s="109">
        <v>2018</v>
      </c>
      <c r="K55" s="108"/>
      <c r="L55" s="108"/>
      <c r="M55" s="108"/>
      <c r="N55" s="108" t="s">
        <v>400</v>
      </c>
      <c r="O55" s="108"/>
      <c r="P55" s="108"/>
      <c r="Q55" s="108"/>
      <c r="R55" s="108"/>
      <c r="S55" s="108"/>
      <c r="T55" s="108"/>
      <c r="U55" s="108"/>
      <c r="V55" s="108"/>
    </row>
    <row r="56" spans="1:22" ht="15.75">
      <c r="A56" s="110">
        <v>8</v>
      </c>
      <c r="B56" s="117" t="s">
        <v>129</v>
      </c>
      <c r="C56" s="106">
        <v>899861</v>
      </c>
      <c r="D56" s="106" t="s">
        <v>130</v>
      </c>
      <c r="E56" s="106"/>
      <c r="F56" s="106">
        <v>310</v>
      </c>
      <c r="G56" s="106">
        <v>100</v>
      </c>
      <c r="H56" s="106">
        <v>1967</v>
      </c>
      <c r="I56" s="106" t="s">
        <v>285</v>
      </c>
      <c r="J56" s="109">
        <v>2014</v>
      </c>
      <c r="K56" s="108"/>
      <c r="L56" s="108"/>
      <c r="M56" s="108" t="s">
        <v>399</v>
      </c>
      <c r="N56" s="108"/>
      <c r="O56" s="108"/>
      <c r="P56" s="108"/>
      <c r="Q56" s="108"/>
      <c r="R56" s="108"/>
      <c r="S56" s="108"/>
      <c r="T56" s="108"/>
      <c r="U56" s="108"/>
      <c r="V56" s="108"/>
    </row>
    <row r="57" spans="1:22" ht="15.75">
      <c r="A57" s="110">
        <v>9</v>
      </c>
      <c r="B57" s="117" t="s">
        <v>131</v>
      </c>
      <c r="C57" s="106">
        <v>899860</v>
      </c>
      <c r="D57" s="106" t="s">
        <v>132</v>
      </c>
      <c r="E57" s="106"/>
      <c r="F57" s="106">
        <v>310</v>
      </c>
      <c r="G57" s="106">
        <v>100</v>
      </c>
      <c r="H57" s="106">
        <v>1968</v>
      </c>
      <c r="I57" s="106" t="s">
        <v>285</v>
      </c>
      <c r="J57" s="109">
        <v>2018</v>
      </c>
      <c r="K57" s="108"/>
      <c r="L57" s="108" t="s">
        <v>400</v>
      </c>
      <c r="M57" s="108"/>
      <c r="N57" s="108"/>
      <c r="O57" s="108"/>
      <c r="P57" s="108"/>
      <c r="Q57" s="108"/>
      <c r="R57" s="108"/>
      <c r="S57" s="108"/>
      <c r="T57" s="108"/>
      <c r="U57" s="108"/>
      <c r="V57" s="108"/>
    </row>
    <row r="58" spans="1:22" ht="15.75">
      <c r="A58" s="110">
        <v>10</v>
      </c>
      <c r="B58" s="117" t="s">
        <v>133</v>
      </c>
      <c r="C58" s="106">
        <v>923051</v>
      </c>
      <c r="D58" s="106" t="s">
        <v>134</v>
      </c>
      <c r="E58" s="106"/>
      <c r="F58" s="106">
        <v>310</v>
      </c>
      <c r="G58" s="106">
        <v>100</v>
      </c>
      <c r="H58" s="106">
        <v>1967</v>
      </c>
      <c r="I58" s="106" t="s">
        <v>285</v>
      </c>
      <c r="J58" s="109">
        <v>2018</v>
      </c>
      <c r="K58" s="108"/>
      <c r="L58" s="108"/>
      <c r="M58" s="108"/>
      <c r="N58" s="108"/>
      <c r="O58" s="108"/>
      <c r="P58" s="108" t="s">
        <v>400</v>
      </c>
      <c r="Q58" s="108"/>
      <c r="R58" s="108"/>
      <c r="S58" s="108"/>
      <c r="T58" s="108"/>
      <c r="U58" s="108"/>
      <c r="V58" s="108"/>
    </row>
    <row r="59" spans="1:22" ht="15.75">
      <c r="A59" s="110">
        <v>11</v>
      </c>
      <c r="B59" s="117" t="s">
        <v>135</v>
      </c>
      <c r="C59" s="106">
        <v>895681</v>
      </c>
      <c r="D59" s="106" t="s">
        <v>136</v>
      </c>
      <c r="E59" s="106"/>
      <c r="F59" s="106">
        <v>310</v>
      </c>
      <c r="G59" s="106">
        <v>100</v>
      </c>
      <c r="H59" s="106">
        <v>1968</v>
      </c>
      <c r="I59" s="106" t="s">
        <v>285</v>
      </c>
      <c r="J59" s="109">
        <v>2013</v>
      </c>
      <c r="K59" s="108"/>
      <c r="L59" s="108"/>
      <c r="M59" s="108"/>
      <c r="N59" s="108"/>
      <c r="O59" s="108"/>
      <c r="P59" s="108"/>
      <c r="Q59" s="108"/>
      <c r="R59" s="108" t="s">
        <v>400</v>
      </c>
      <c r="S59" s="108"/>
      <c r="T59" s="108"/>
      <c r="U59" s="108"/>
      <c r="V59" s="108"/>
    </row>
    <row r="60" spans="1:22" ht="15.75">
      <c r="A60" s="110">
        <v>12</v>
      </c>
      <c r="B60" s="117" t="s">
        <v>137</v>
      </c>
      <c r="C60" s="106">
        <v>933550</v>
      </c>
      <c r="D60" s="106" t="s">
        <v>138</v>
      </c>
      <c r="E60" s="106"/>
      <c r="F60" s="106">
        <v>310</v>
      </c>
      <c r="G60" s="106">
        <v>100</v>
      </c>
      <c r="H60" s="106">
        <v>1968</v>
      </c>
      <c r="I60" s="106" t="s">
        <v>285</v>
      </c>
      <c r="J60" s="109">
        <v>2013</v>
      </c>
      <c r="K60" s="108"/>
      <c r="L60" s="108"/>
      <c r="M60" s="108"/>
      <c r="N60" s="108"/>
      <c r="O60" s="108"/>
      <c r="P60" s="108"/>
      <c r="Q60" s="108" t="s">
        <v>400</v>
      </c>
      <c r="R60" s="108"/>
      <c r="S60" s="108"/>
      <c r="T60" s="108"/>
      <c r="U60" s="108"/>
      <c r="V60" s="108"/>
    </row>
    <row r="61" spans="1:22" ht="15.75">
      <c r="A61" s="110">
        <v>13</v>
      </c>
      <c r="B61" s="117" t="s">
        <v>139</v>
      </c>
      <c r="C61" s="106">
        <v>903458</v>
      </c>
      <c r="D61" s="106" t="s">
        <v>140</v>
      </c>
      <c r="E61" s="106"/>
      <c r="F61" s="106">
        <v>310</v>
      </c>
      <c r="G61" s="106">
        <v>100</v>
      </c>
      <c r="H61" s="106">
        <v>1968</v>
      </c>
      <c r="I61" s="106" t="s">
        <v>285</v>
      </c>
      <c r="J61" s="109">
        <v>2013</v>
      </c>
      <c r="K61" s="108"/>
      <c r="L61" s="108"/>
      <c r="M61" s="108"/>
      <c r="N61" s="108"/>
      <c r="O61" s="108"/>
      <c r="P61" s="108"/>
      <c r="Q61" s="108" t="s">
        <v>400</v>
      </c>
      <c r="R61" s="108"/>
      <c r="S61" s="108"/>
      <c r="T61" s="108"/>
      <c r="U61" s="108"/>
      <c r="V61" s="108"/>
    </row>
    <row r="62" spans="1:22" ht="15.75">
      <c r="A62" s="110">
        <v>14</v>
      </c>
      <c r="B62" s="117" t="s">
        <v>141</v>
      </c>
      <c r="C62" s="106"/>
      <c r="D62" s="106" t="s">
        <v>142</v>
      </c>
      <c r="E62" s="106"/>
      <c r="F62" s="106">
        <v>310</v>
      </c>
      <c r="G62" s="106">
        <v>100</v>
      </c>
      <c r="H62" s="106"/>
      <c r="I62" s="106" t="s">
        <v>285</v>
      </c>
      <c r="J62" s="109">
        <v>2012</v>
      </c>
      <c r="K62" s="108"/>
      <c r="L62" s="108"/>
      <c r="M62" s="108"/>
      <c r="N62" s="108"/>
      <c r="O62" s="108"/>
      <c r="P62" s="108"/>
      <c r="Q62" s="108"/>
      <c r="R62" s="108"/>
      <c r="S62" s="108" t="s">
        <v>400</v>
      </c>
      <c r="T62" s="108"/>
      <c r="U62" s="108"/>
      <c r="V62" s="108"/>
    </row>
    <row r="63" spans="1:22" ht="18">
      <c r="A63" s="202" t="s">
        <v>143</v>
      </c>
      <c r="B63" s="202"/>
      <c r="C63" s="202"/>
      <c r="D63" s="202"/>
      <c r="E63" s="202"/>
      <c r="F63" s="106"/>
      <c r="G63" s="216"/>
      <c r="H63" s="216"/>
      <c r="I63" s="216"/>
      <c r="J63" s="216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</row>
    <row r="64" spans="1:22" ht="15">
      <c r="A64" s="110">
        <v>1</v>
      </c>
      <c r="B64" s="117" t="s">
        <v>144</v>
      </c>
      <c r="C64" s="106"/>
      <c r="D64" s="106" t="s">
        <v>145</v>
      </c>
      <c r="E64" s="106"/>
      <c r="F64" s="106">
        <v>250</v>
      </c>
      <c r="G64" s="106">
        <v>90</v>
      </c>
      <c r="H64" s="106">
        <v>1992</v>
      </c>
      <c r="I64" s="106" t="s">
        <v>285</v>
      </c>
      <c r="J64" s="109">
        <v>2011</v>
      </c>
      <c r="K64" s="107"/>
      <c r="L64" s="107" t="s">
        <v>400</v>
      </c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ht="15">
      <c r="A65" s="110">
        <v>2</v>
      </c>
      <c r="B65" s="117" t="s">
        <v>146</v>
      </c>
      <c r="C65" s="106"/>
      <c r="D65" s="106" t="s">
        <v>147</v>
      </c>
      <c r="E65" s="106"/>
      <c r="F65" s="106">
        <v>250</v>
      </c>
      <c r="G65" s="106">
        <v>90</v>
      </c>
      <c r="H65" s="106">
        <v>1992</v>
      </c>
      <c r="I65" s="106" t="s">
        <v>285</v>
      </c>
      <c r="J65" s="109">
        <v>2011</v>
      </c>
      <c r="K65" s="107"/>
      <c r="L65" s="107"/>
      <c r="M65" s="107"/>
      <c r="N65" s="107" t="s">
        <v>400</v>
      </c>
      <c r="O65" s="107"/>
      <c r="P65" s="107"/>
      <c r="Q65" s="107"/>
      <c r="R65" s="107"/>
      <c r="S65" s="107"/>
      <c r="T65" s="107"/>
      <c r="U65" s="107"/>
      <c r="V65" s="107"/>
    </row>
    <row r="66" spans="1:22" ht="15">
      <c r="A66" s="110">
        <v>3</v>
      </c>
      <c r="B66" s="117" t="s">
        <v>148</v>
      </c>
      <c r="C66" s="106"/>
      <c r="D66" s="106" t="s">
        <v>149</v>
      </c>
      <c r="E66" s="106"/>
      <c r="F66" s="106">
        <v>250</v>
      </c>
      <c r="G66" s="106">
        <v>90</v>
      </c>
      <c r="H66" s="106">
        <v>1992</v>
      </c>
      <c r="I66" s="106" t="s">
        <v>285</v>
      </c>
      <c r="J66" s="109">
        <v>2011</v>
      </c>
      <c r="K66" s="107"/>
      <c r="L66" s="107"/>
      <c r="M66" s="107"/>
      <c r="N66" s="107"/>
      <c r="O66" s="107"/>
      <c r="P66" s="107" t="s">
        <v>400</v>
      </c>
      <c r="Q66" s="107"/>
      <c r="R66" s="107"/>
      <c r="S66" s="107"/>
      <c r="T66" s="107"/>
      <c r="U66" s="107"/>
      <c r="V66" s="107"/>
    </row>
    <row r="67" spans="1:22" ht="15">
      <c r="A67" s="110">
        <v>4</v>
      </c>
      <c r="B67" s="117" t="s">
        <v>150</v>
      </c>
      <c r="C67" s="106"/>
      <c r="D67" s="106" t="s">
        <v>151</v>
      </c>
      <c r="E67" s="106"/>
      <c r="F67" s="106">
        <v>250</v>
      </c>
      <c r="G67" s="106">
        <v>90</v>
      </c>
      <c r="H67" s="106">
        <v>1992</v>
      </c>
      <c r="I67" s="106" t="s">
        <v>285</v>
      </c>
      <c r="J67" s="109">
        <v>2011</v>
      </c>
      <c r="K67" s="107"/>
      <c r="L67" s="107"/>
      <c r="M67" s="107"/>
      <c r="N67" s="107"/>
      <c r="O67" s="107"/>
      <c r="P67" s="107"/>
      <c r="Q67" s="107"/>
      <c r="R67" s="107" t="s">
        <v>400</v>
      </c>
      <c r="S67" s="107"/>
      <c r="T67" s="107"/>
      <c r="U67" s="107"/>
      <c r="V67" s="107"/>
    </row>
    <row r="68" spans="1:22" ht="31.5" customHeight="1">
      <c r="A68" s="217" t="s">
        <v>152</v>
      </c>
      <c r="B68" s="218"/>
      <c r="C68" s="218"/>
      <c r="D68" s="218"/>
      <c r="E68" s="219"/>
      <c r="F68" s="206"/>
      <c r="G68" s="207"/>
      <c r="H68" s="207"/>
      <c r="I68" s="208"/>
      <c r="J68" s="109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1:22" ht="31.5" customHeight="1">
      <c r="A69" s="110">
        <v>1</v>
      </c>
      <c r="B69" s="112" t="s">
        <v>153</v>
      </c>
      <c r="C69" s="106"/>
      <c r="D69" s="106">
        <v>38917</v>
      </c>
      <c r="E69" s="106"/>
      <c r="F69" s="106">
        <v>23</v>
      </c>
      <c r="G69" s="106">
        <v>7</v>
      </c>
      <c r="H69" s="106">
        <v>1976</v>
      </c>
      <c r="I69" s="118" t="s">
        <v>356</v>
      </c>
      <c r="J69" s="109">
        <v>2016</v>
      </c>
      <c r="K69" s="107"/>
      <c r="L69" s="107"/>
      <c r="M69" s="107"/>
      <c r="N69" s="107"/>
      <c r="O69" s="107"/>
      <c r="P69" s="107" t="s">
        <v>416</v>
      </c>
      <c r="Q69" s="107"/>
      <c r="R69" s="107"/>
      <c r="S69" s="107"/>
      <c r="T69" s="107"/>
      <c r="U69" s="107"/>
      <c r="V69" s="107" t="s">
        <v>399</v>
      </c>
    </row>
    <row r="70" spans="1:22" ht="31.5" customHeight="1">
      <c r="A70" s="202" t="s">
        <v>154</v>
      </c>
      <c r="B70" s="202"/>
      <c r="C70" s="202"/>
      <c r="D70" s="202"/>
      <c r="E70" s="202"/>
      <c r="F70" s="206"/>
      <c r="G70" s="207"/>
      <c r="H70" s="207"/>
      <c r="I70" s="208"/>
      <c r="J70" s="109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1:22" ht="15">
      <c r="A71" s="110">
        <v>1</v>
      </c>
      <c r="B71" s="112" t="s">
        <v>155</v>
      </c>
      <c r="C71" s="106"/>
      <c r="D71" s="106">
        <v>77481</v>
      </c>
      <c r="E71" s="106"/>
      <c r="F71" s="106">
        <v>23</v>
      </c>
      <c r="G71" s="106">
        <v>7</v>
      </c>
      <c r="H71" s="106">
        <v>1994</v>
      </c>
      <c r="I71" s="118" t="s">
        <v>356</v>
      </c>
      <c r="J71" s="109">
        <v>2018</v>
      </c>
      <c r="K71" s="107"/>
      <c r="L71" s="107"/>
      <c r="M71" s="107"/>
      <c r="N71" s="107" t="s">
        <v>416</v>
      </c>
      <c r="O71" s="107"/>
      <c r="P71" s="107"/>
      <c r="Q71" s="107"/>
      <c r="R71" s="107"/>
      <c r="S71" s="107"/>
      <c r="T71" s="107" t="s">
        <v>400</v>
      </c>
      <c r="U71" s="107"/>
      <c r="V71" s="107"/>
    </row>
    <row r="72" spans="1:22" ht="15">
      <c r="A72" s="110">
        <v>2</v>
      </c>
      <c r="B72" s="112" t="s">
        <v>156</v>
      </c>
      <c r="C72" s="119"/>
      <c r="D72" s="106">
        <v>77481</v>
      </c>
      <c r="E72" s="106"/>
      <c r="F72" s="106">
        <v>23</v>
      </c>
      <c r="G72" s="106">
        <v>7</v>
      </c>
      <c r="H72" s="106">
        <v>1994</v>
      </c>
      <c r="I72" s="118" t="s">
        <v>356</v>
      </c>
      <c r="J72" s="109">
        <v>2018</v>
      </c>
      <c r="K72" s="107"/>
      <c r="L72" s="107"/>
      <c r="M72" s="107" t="s">
        <v>400</v>
      </c>
      <c r="N72" s="107"/>
      <c r="O72" s="107"/>
      <c r="P72" s="107"/>
      <c r="Q72" s="107"/>
      <c r="R72" s="107"/>
      <c r="S72" s="107" t="s">
        <v>416</v>
      </c>
      <c r="T72" s="107"/>
      <c r="U72" s="107"/>
      <c r="V72" s="107"/>
    </row>
    <row r="73" spans="1:22" ht="15">
      <c r="A73" s="110">
        <v>3</v>
      </c>
      <c r="B73" s="112" t="s">
        <v>157</v>
      </c>
      <c r="C73" s="106"/>
      <c r="D73" s="106">
        <v>76603</v>
      </c>
      <c r="E73" s="106"/>
      <c r="F73" s="106">
        <v>23</v>
      </c>
      <c r="G73" s="106">
        <v>7</v>
      </c>
      <c r="H73" s="106">
        <v>1994</v>
      </c>
      <c r="I73" s="118" t="s">
        <v>356</v>
      </c>
      <c r="J73" s="109">
        <v>2018</v>
      </c>
      <c r="K73" s="107"/>
      <c r="L73" s="107"/>
      <c r="M73" s="107"/>
      <c r="N73" s="107" t="s">
        <v>416</v>
      </c>
      <c r="O73" s="107"/>
      <c r="P73" s="107"/>
      <c r="Q73" s="107"/>
      <c r="R73" s="107"/>
      <c r="S73" s="107"/>
      <c r="T73" s="107" t="s">
        <v>400</v>
      </c>
      <c r="U73" s="107"/>
      <c r="V73" s="107"/>
    </row>
    <row r="74" spans="1:22" ht="15">
      <c r="A74" s="110">
        <v>4</v>
      </c>
      <c r="B74" s="112" t="s">
        <v>158</v>
      </c>
      <c r="C74" s="106"/>
      <c r="D74" s="106">
        <v>76603</v>
      </c>
      <c r="E74" s="106"/>
      <c r="F74" s="106">
        <v>23</v>
      </c>
      <c r="G74" s="106">
        <v>7</v>
      </c>
      <c r="H74" s="106">
        <v>1962</v>
      </c>
      <c r="I74" s="118" t="s">
        <v>356</v>
      </c>
      <c r="J74" s="109">
        <v>2018</v>
      </c>
      <c r="K74" s="107"/>
      <c r="L74" s="107"/>
      <c r="M74" s="107"/>
      <c r="N74" s="107"/>
      <c r="O74" s="107"/>
      <c r="P74" s="107" t="s">
        <v>400</v>
      </c>
      <c r="Q74" s="107"/>
      <c r="R74" s="107"/>
      <c r="S74" s="107"/>
      <c r="T74" s="107"/>
      <c r="U74" s="107"/>
      <c r="V74" s="107" t="s">
        <v>416</v>
      </c>
    </row>
    <row r="75" spans="1:22" ht="15">
      <c r="A75" s="110">
        <v>5</v>
      </c>
      <c r="B75" s="112" t="s">
        <v>159</v>
      </c>
      <c r="C75" s="106"/>
      <c r="D75" s="106">
        <v>158037</v>
      </c>
      <c r="E75" s="106"/>
      <c r="F75" s="106">
        <v>23</v>
      </c>
      <c r="G75" s="106">
        <v>7</v>
      </c>
      <c r="H75" s="106">
        <v>2008</v>
      </c>
      <c r="I75" s="118" t="s">
        <v>356</v>
      </c>
      <c r="J75" s="109">
        <v>2016</v>
      </c>
      <c r="K75" s="107"/>
      <c r="L75" s="107"/>
      <c r="M75" s="107" t="s">
        <v>400</v>
      </c>
      <c r="N75" s="107"/>
      <c r="O75" s="107"/>
      <c r="P75" s="107"/>
      <c r="Q75" s="107"/>
      <c r="R75" s="107"/>
      <c r="S75" s="107" t="s">
        <v>416</v>
      </c>
      <c r="T75" s="107"/>
      <c r="U75" s="107"/>
      <c r="V75" s="107"/>
    </row>
    <row r="76" spans="1:22" ht="15">
      <c r="A76" s="110">
        <v>6</v>
      </c>
      <c r="B76" s="112" t="s">
        <v>160</v>
      </c>
      <c r="C76" s="106"/>
      <c r="D76" s="106">
        <v>158037</v>
      </c>
      <c r="E76" s="106"/>
      <c r="F76" s="106">
        <v>23</v>
      </c>
      <c r="G76" s="106">
        <v>7</v>
      </c>
      <c r="H76" s="106">
        <v>2008</v>
      </c>
      <c r="I76" s="118" t="s">
        <v>356</v>
      </c>
      <c r="J76" s="109">
        <v>2016</v>
      </c>
      <c r="K76" s="107"/>
      <c r="L76" s="107"/>
      <c r="M76" s="107" t="s">
        <v>400</v>
      </c>
      <c r="N76" s="107"/>
      <c r="O76" s="107"/>
      <c r="P76" s="107"/>
      <c r="Q76" s="107"/>
      <c r="R76" s="107"/>
      <c r="S76" s="107" t="s">
        <v>416</v>
      </c>
      <c r="T76" s="107"/>
      <c r="U76" s="107"/>
      <c r="V76" s="107"/>
    </row>
    <row r="77" spans="1:22" ht="16.5">
      <c r="A77" s="195" t="s">
        <v>161</v>
      </c>
      <c r="B77" s="195"/>
      <c r="C77" s="195"/>
      <c r="D77" s="195"/>
      <c r="E77" s="195"/>
      <c r="F77" s="206"/>
      <c r="G77" s="207"/>
      <c r="H77" s="207"/>
      <c r="I77" s="208"/>
      <c r="J77" s="109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 ht="15">
      <c r="A78" s="110">
        <v>1</v>
      </c>
      <c r="B78" s="112" t="s">
        <v>162</v>
      </c>
      <c r="C78" s="106"/>
      <c r="D78" s="106">
        <v>42317</v>
      </c>
      <c r="E78" s="106"/>
      <c r="F78" s="106">
        <v>23</v>
      </c>
      <c r="G78" s="106">
        <v>7</v>
      </c>
      <c r="H78" s="106">
        <v>1972</v>
      </c>
      <c r="I78" s="118" t="s">
        <v>356</v>
      </c>
      <c r="J78" s="109">
        <v>2016</v>
      </c>
      <c r="K78" s="107"/>
      <c r="L78" s="107"/>
      <c r="M78" s="107" t="s">
        <v>399</v>
      </c>
      <c r="N78" s="107"/>
      <c r="O78" s="107"/>
      <c r="P78" s="107"/>
      <c r="Q78" s="107"/>
      <c r="R78" s="107"/>
      <c r="S78" s="107" t="s">
        <v>416</v>
      </c>
      <c r="T78" s="107"/>
      <c r="U78" s="107"/>
      <c r="V78" s="107"/>
    </row>
    <row r="79" spans="1:22" ht="15">
      <c r="A79" s="110">
        <v>2</v>
      </c>
      <c r="B79" s="112" t="s">
        <v>163</v>
      </c>
      <c r="C79" s="106"/>
      <c r="D79" s="106">
        <v>42316</v>
      </c>
      <c r="E79" s="106"/>
      <c r="F79" s="106">
        <v>23</v>
      </c>
      <c r="G79" s="106">
        <v>7</v>
      </c>
      <c r="H79" s="106">
        <v>1977</v>
      </c>
      <c r="I79" s="118" t="s">
        <v>356</v>
      </c>
      <c r="J79" s="109">
        <v>2017</v>
      </c>
      <c r="K79" s="107"/>
      <c r="L79" s="107"/>
      <c r="M79" s="107"/>
      <c r="N79" s="107"/>
      <c r="O79" s="107"/>
      <c r="P79" s="107" t="s">
        <v>416</v>
      </c>
      <c r="Q79" s="107"/>
      <c r="R79" s="107"/>
      <c r="S79" s="107"/>
      <c r="T79" s="107"/>
      <c r="U79" s="107"/>
      <c r="V79" s="107" t="s">
        <v>400</v>
      </c>
    </row>
    <row r="80" spans="1:22" ht="15">
      <c r="A80" s="110">
        <v>3</v>
      </c>
      <c r="B80" s="112" t="s">
        <v>164</v>
      </c>
      <c r="C80" s="119"/>
      <c r="D80" s="106">
        <v>42762</v>
      </c>
      <c r="E80" s="106"/>
      <c r="F80" s="106">
        <v>23</v>
      </c>
      <c r="G80" s="106">
        <v>7</v>
      </c>
      <c r="H80" s="106">
        <v>1977</v>
      </c>
      <c r="I80" s="118" t="s">
        <v>356</v>
      </c>
      <c r="J80" s="109">
        <v>2017</v>
      </c>
      <c r="K80" s="107"/>
      <c r="L80" s="107"/>
      <c r="M80" s="107"/>
      <c r="N80" s="107"/>
      <c r="O80" s="107" t="s">
        <v>416</v>
      </c>
      <c r="P80" s="107"/>
      <c r="Q80" s="107"/>
      <c r="R80" s="107"/>
      <c r="S80" s="107"/>
      <c r="T80" s="107"/>
      <c r="U80" s="107" t="s">
        <v>400</v>
      </c>
      <c r="V80" s="107"/>
    </row>
    <row r="81" spans="1:22" ht="15">
      <c r="A81" s="110">
        <v>4</v>
      </c>
      <c r="B81" s="112" t="s">
        <v>165</v>
      </c>
      <c r="C81" s="106"/>
      <c r="D81" s="106">
        <v>42762</v>
      </c>
      <c r="E81" s="106"/>
      <c r="F81" s="106">
        <v>23</v>
      </c>
      <c r="G81" s="106">
        <v>7</v>
      </c>
      <c r="H81" s="106">
        <v>1977</v>
      </c>
      <c r="I81" s="118" t="s">
        <v>356</v>
      </c>
      <c r="J81" s="109">
        <v>2017</v>
      </c>
      <c r="K81" s="107"/>
      <c r="L81" s="107"/>
      <c r="M81" s="107"/>
      <c r="N81" s="107" t="s">
        <v>400</v>
      </c>
      <c r="O81" s="107"/>
      <c r="P81" s="107"/>
      <c r="Q81" s="107"/>
      <c r="R81" s="107"/>
      <c r="S81" s="107"/>
      <c r="T81" s="107" t="s">
        <v>416</v>
      </c>
      <c r="U81" s="107"/>
      <c r="V81" s="107"/>
    </row>
    <row r="82" spans="1:22" ht="16.5">
      <c r="A82" s="180" t="s">
        <v>628</v>
      </c>
      <c r="B82" s="180"/>
      <c r="C82" s="180"/>
      <c r="D82" s="180"/>
      <c r="E82" s="180"/>
      <c r="F82" s="3"/>
      <c r="G82" s="3"/>
      <c r="H82" s="3"/>
      <c r="I82" s="3"/>
      <c r="J82" s="4"/>
      <c r="K82" s="107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>
      <c r="A83" s="6">
        <v>1</v>
      </c>
      <c r="B83" s="8" t="s">
        <v>565</v>
      </c>
      <c r="C83" s="3">
        <v>14774</v>
      </c>
      <c r="D83" s="3" t="s">
        <v>566</v>
      </c>
      <c r="E83" s="3">
        <v>1000</v>
      </c>
      <c r="F83" s="3">
        <v>310</v>
      </c>
      <c r="G83" s="3">
        <v>62</v>
      </c>
      <c r="H83" s="3">
        <v>1976</v>
      </c>
      <c r="I83" s="3" t="s">
        <v>608</v>
      </c>
      <c r="J83" s="4">
        <v>2012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 t="s">
        <v>416</v>
      </c>
      <c r="V83" s="7"/>
    </row>
    <row r="84" spans="1:22" ht="15.75">
      <c r="A84" s="6">
        <v>2</v>
      </c>
      <c r="B84" s="8" t="s">
        <v>624</v>
      </c>
      <c r="C84" s="3">
        <v>16174</v>
      </c>
      <c r="D84" s="3" t="s">
        <v>566</v>
      </c>
      <c r="E84" s="3">
        <v>1000</v>
      </c>
      <c r="F84" s="3">
        <v>310</v>
      </c>
      <c r="G84" s="3">
        <v>62</v>
      </c>
      <c r="H84" s="3">
        <v>1976</v>
      </c>
      <c r="I84" s="3" t="s">
        <v>608</v>
      </c>
      <c r="J84" s="4">
        <v>2012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 t="s">
        <v>416</v>
      </c>
    </row>
    <row r="85" spans="1:22" ht="16.5">
      <c r="A85" s="180" t="s">
        <v>629</v>
      </c>
      <c r="B85" s="180"/>
      <c r="C85" s="180"/>
      <c r="D85" s="180"/>
      <c r="E85" s="180"/>
      <c r="F85" s="9" t="s">
        <v>357</v>
      </c>
      <c r="G85" s="3">
        <f>SUM(C86:C93)</f>
        <v>115</v>
      </c>
      <c r="H85" s="10" t="s">
        <v>358</v>
      </c>
      <c r="I85" s="3"/>
      <c r="J85" s="4"/>
      <c r="K85" s="107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">
      <c r="A86" s="6">
        <v>1</v>
      </c>
      <c r="B86" s="13" t="s">
        <v>625</v>
      </c>
      <c r="C86" s="3"/>
      <c r="D86" s="3">
        <v>30358</v>
      </c>
      <c r="E86" s="3"/>
      <c r="F86" s="3">
        <v>29</v>
      </c>
      <c r="G86" s="3">
        <v>8</v>
      </c>
      <c r="H86" s="3">
        <v>1977</v>
      </c>
      <c r="I86" s="3" t="s">
        <v>355</v>
      </c>
      <c r="J86" s="4">
        <v>2013</v>
      </c>
      <c r="K86" s="107"/>
      <c r="L86" s="5"/>
      <c r="M86" s="5"/>
      <c r="N86" s="5"/>
      <c r="O86" s="5"/>
      <c r="P86" s="5"/>
      <c r="Q86" s="5"/>
      <c r="R86" s="5"/>
      <c r="S86" s="5"/>
      <c r="T86" s="5"/>
      <c r="U86" s="5" t="s">
        <v>400</v>
      </c>
      <c r="V86" s="5"/>
    </row>
    <row r="87" spans="1:22" ht="15">
      <c r="A87" s="6"/>
      <c r="B87" s="13" t="s">
        <v>626</v>
      </c>
      <c r="C87" s="3">
        <v>50</v>
      </c>
      <c r="D87" s="3"/>
      <c r="E87" s="3"/>
      <c r="F87" s="3"/>
      <c r="G87" s="3"/>
      <c r="H87" s="3"/>
      <c r="I87" s="3"/>
      <c r="J87" s="4"/>
      <c r="K87" s="107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>
      <c r="A88" s="6">
        <v>2</v>
      </c>
      <c r="B88" s="13" t="s">
        <v>627</v>
      </c>
      <c r="C88" s="3"/>
      <c r="D88" s="3">
        <v>30358</v>
      </c>
      <c r="E88" s="3"/>
      <c r="F88" s="3">
        <v>37</v>
      </c>
      <c r="G88" s="3">
        <v>11</v>
      </c>
      <c r="H88" s="3">
        <v>1977</v>
      </c>
      <c r="I88" s="3" t="s">
        <v>355</v>
      </c>
      <c r="J88" s="4">
        <v>2013</v>
      </c>
      <c r="K88" s="107"/>
      <c r="L88" s="5"/>
      <c r="M88" s="5"/>
      <c r="N88" s="5"/>
      <c r="O88" s="5"/>
      <c r="P88" s="5"/>
      <c r="Q88" s="5"/>
      <c r="R88" s="5"/>
      <c r="S88" s="5"/>
      <c r="T88" s="5"/>
      <c r="U88" s="5"/>
      <c r="V88" s="5" t="s">
        <v>400</v>
      </c>
    </row>
    <row r="89" spans="1:22" ht="15">
      <c r="A89" s="6"/>
      <c r="B89" s="13" t="s">
        <v>626</v>
      </c>
      <c r="C89" s="3">
        <v>65</v>
      </c>
      <c r="D89" s="3"/>
      <c r="E89" s="3"/>
      <c r="F89" s="3"/>
      <c r="G89" s="3"/>
      <c r="H89" s="3"/>
      <c r="I89" s="3"/>
      <c r="J89" s="4"/>
      <c r="K89" s="107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>
      <c r="A90" s="184" t="s">
        <v>632</v>
      </c>
      <c r="B90" s="184"/>
      <c r="C90" s="184"/>
      <c r="D90" s="184"/>
      <c r="E90" s="184"/>
      <c r="F90" s="3"/>
      <c r="G90" s="3"/>
      <c r="H90" s="3"/>
      <c r="I90" s="3"/>
      <c r="J90" s="4"/>
      <c r="K90" s="107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6">
        <v>1</v>
      </c>
      <c r="B91" s="13" t="s">
        <v>630</v>
      </c>
      <c r="C91" s="3"/>
      <c r="D91" s="3">
        <v>39470</v>
      </c>
      <c r="E91" s="3"/>
      <c r="F91" s="3">
        <v>23</v>
      </c>
      <c r="G91" s="3">
        <v>7</v>
      </c>
      <c r="H91" s="3">
        <v>1976</v>
      </c>
      <c r="I91" s="16" t="s">
        <v>356</v>
      </c>
      <c r="J91" s="4">
        <v>2017</v>
      </c>
      <c r="K91" s="107"/>
      <c r="L91" s="5"/>
      <c r="M91" s="5"/>
      <c r="N91" s="5"/>
      <c r="O91" s="5" t="s">
        <v>416</v>
      </c>
      <c r="P91" s="5"/>
      <c r="Q91" s="5"/>
      <c r="R91" s="5"/>
      <c r="S91" s="5"/>
      <c r="T91" s="5"/>
      <c r="U91" s="5" t="s">
        <v>400</v>
      </c>
      <c r="V91" s="5"/>
    </row>
    <row r="92" spans="1:22" ht="15">
      <c r="A92" s="6">
        <v>2</v>
      </c>
      <c r="B92" s="13" t="s">
        <v>631</v>
      </c>
      <c r="C92" s="3"/>
      <c r="D92" s="3">
        <v>39470</v>
      </c>
      <c r="E92" s="3"/>
      <c r="F92" s="3">
        <v>23</v>
      </c>
      <c r="G92" s="3">
        <v>7</v>
      </c>
      <c r="H92" s="3">
        <v>1976</v>
      </c>
      <c r="I92" s="16" t="s">
        <v>356</v>
      </c>
      <c r="J92" s="4">
        <v>2016</v>
      </c>
      <c r="K92" s="107"/>
      <c r="L92" s="5"/>
      <c r="M92" s="5"/>
      <c r="N92" s="5"/>
      <c r="O92" s="5" t="s">
        <v>416</v>
      </c>
      <c r="P92" s="5"/>
      <c r="Q92" s="5"/>
      <c r="R92" s="5"/>
      <c r="S92" s="5"/>
      <c r="T92" s="5"/>
      <c r="U92" s="5" t="s">
        <v>399</v>
      </c>
      <c r="V92" s="5"/>
    </row>
    <row r="93" spans="1:22" ht="16.5">
      <c r="A93" s="185" t="s">
        <v>623</v>
      </c>
      <c r="B93" s="220"/>
      <c r="C93" s="220"/>
      <c r="D93" s="220"/>
      <c r="E93" s="220"/>
      <c r="F93" s="9" t="s">
        <v>357</v>
      </c>
      <c r="G93" s="3">
        <f>SUM(C94:C101)</f>
        <v>940</v>
      </c>
      <c r="H93" s="10" t="s">
        <v>358</v>
      </c>
      <c r="I93" s="3"/>
      <c r="J93" s="4"/>
      <c r="K93" s="107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27.75">
      <c r="A94" s="6">
        <v>1</v>
      </c>
      <c r="B94" s="12" t="s">
        <v>308</v>
      </c>
      <c r="C94" s="3"/>
      <c r="D94" s="3">
        <v>30358</v>
      </c>
      <c r="E94" s="3"/>
      <c r="F94" s="3">
        <v>108</v>
      </c>
      <c r="G94" s="3">
        <v>32</v>
      </c>
      <c r="H94" s="3">
        <v>1977</v>
      </c>
      <c r="I94" s="3" t="s">
        <v>355</v>
      </c>
      <c r="J94" s="4">
        <v>2013</v>
      </c>
      <c r="K94" s="107"/>
      <c r="L94" s="5"/>
      <c r="M94" s="5"/>
      <c r="N94" s="5"/>
      <c r="O94" s="5"/>
      <c r="P94" s="5"/>
      <c r="Q94" s="5" t="s">
        <v>400</v>
      </c>
      <c r="R94" s="5"/>
      <c r="S94" s="5"/>
      <c r="T94" s="5"/>
      <c r="U94" s="5"/>
      <c r="V94" s="5"/>
    </row>
    <row r="95" spans="1:22" ht="15">
      <c r="A95" s="6"/>
      <c r="B95" s="12" t="s">
        <v>599</v>
      </c>
      <c r="C95" s="3">
        <v>200</v>
      </c>
      <c r="D95" s="3"/>
      <c r="E95" s="3"/>
      <c r="F95" s="3"/>
      <c r="G95" s="3"/>
      <c r="H95" s="3"/>
      <c r="I95" s="3"/>
      <c r="J95" s="4"/>
      <c r="K95" s="107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27.75">
      <c r="A96" s="6">
        <v>2</v>
      </c>
      <c r="B96" s="12" t="s">
        <v>309</v>
      </c>
      <c r="C96" s="3"/>
      <c r="D96" s="3">
        <v>30358</v>
      </c>
      <c r="E96" s="3"/>
      <c r="F96" s="3">
        <v>108</v>
      </c>
      <c r="G96" s="3">
        <v>32</v>
      </c>
      <c r="H96" s="3">
        <v>1977</v>
      </c>
      <c r="I96" s="3" t="s">
        <v>355</v>
      </c>
      <c r="J96" s="4">
        <v>2013</v>
      </c>
      <c r="K96" s="107"/>
      <c r="L96" s="5"/>
      <c r="M96" s="5"/>
      <c r="N96" s="5"/>
      <c r="O96" s="5"/>
      <c r="P96" s="5"/>
      <c r="Q96" s="5"/>
      <c r="R96" s="5"/>
      <c r="S96" s="5" t="s">
        <v>400</v>
      </c>
      <c r="T96" s="5"/>
      <c r="U96" s="5"/>
      <c r="V96" s="5"/>
    </row>
    <row r="97" spans="1:22" ht="15">
      <c r="A97" s="6"/>
      <c r="B97" s="12" t="s">
        <v>599</v>
      </c>
      <c r="C97" s="3">
        <v>200</v>
      </c>
      <c r="D97" s="3"/>
      <c r="E97" s="3"/>
      <c r="F97" s="3"/>
      <c r="G97" s="3"/>
      <c r="H97" s="3"/>
      <c r="I97" s="3"/>
      <c r="J97" s="4"/>
      <c r="K97" s="107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27">
      <c r="A98" s="6">
        <v>3</v>
      </c>
      <c r="B98" s="12" t="s">
        <v>295</v>
      </c>
      <c r="C98" s="3"/>
      <c r="D98" s="3">
        <v>30361</v>
      </c>
      <c r="E98" s="3"/>
      <c r="F98" s="3"/>
      <c r="G98" s="3"/>
      <c r="H98" s="3">
        <v>2011</v>
      </c>
      <c r="I98" s="3" t="s">
        <v>355</v>
      </c>
      <c r="J98" s="4" t="s">
        <v>443</v>
      </c>
      <c r="K98" s="107"/>
      <c r="L98" s="5"/>
      <c r="M98" s="5"/>
      <c r="N98" s="5"/>
      <c r="O98" s="5"/>
      <c r="P98" s="5"/>
      <c r="Q98" s="5"/>
      <c r="R98" s="5"/>
      <c r="S98" s="5"/>
      <c r="T98" s="5"/>
      <c r="U98" s="5" t="s">
        <v>400</v>
      </c>
      <c r="V98" s="5"/>
    </row>
    <row r="99" spans="1:22" ht="15">
      <c r="A99" s="6"/>
      <c r="B99" s="12" t="s">
        <v>592</v>
      </c>
      <c r="C99" s="3">
        <v>270</v>
      </c>
      <c r="D99" s="3"/>
      <c r="E99" s="3"/>
      <c r="F99" s="3"/>
      <c r="G99" s="3"/>
      <c r="H99" s="3"/>
      <c r="I99" s="3"/>
      <c r="J99" s="4"/>
      <c r="K99" s="107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27">
      <c r="A100" s="6">
        <v>4</v>
      </c>
      <c r="B100" s="12" t="s">
        <v>296</v>
      </c>
      <c r="C100" s="3"/>
      <c r="D100" s="3">
        <v>30361</v>
      </c>
      <c r="E100" s="3"/>
      <c r="F100" s="3"/>
      <c r="G100" s="3"/>
      <c r="H100" s="3">
        <v>2011</v>
      </c>
      <c r="I100" s="3" t="s">
        <v>355</v>
      </c>
      <c r="J100" s="4" t="s">
        <v>443</v>
      </c>
      <c r="K100" s="107"/>
      <c r="L100" s="5"/>
      <c r="M100" s="5"/>
      <c r="N100" s="5"/>
      <c r="O100" s="5"/>
      <c r="P100" s="5"/>
      <c r="Q100" s="5"/>
      <c r="R100" s="5"/>
      <c r="S100" s="5"/>
      <c r="T100" s="5"/>
      <c r="U100" s="5" t="s">
        <v>400</v>
      </c>
      <c r="V100" s="5"/>
    </row>
    <row r="101" spans="1:22" ht="15">
      <c r="A101" s="6"/>
      <c r="B101" s="12" t="s">
        <v>592</v>
      </c>
      <c r="C101" s="3">
        <v>270</v>
      </c>
      <c r="D101" s="3"/>
      <c r="E101" s="3"/>
      <c r="F101" s="3"/>
      <c r="G101" s="3"/>
      <c r="H101" s="3"/>
      <c r="I101" s="3"/>
      <c r="J101" s="4"/>
      <c r="K101" s="107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9" customHeight="1">
      <c r="A102" s="199" t="s">
        <v>23</v>
      </c>
      <c r="B102" s="200"/>
      <c r="C102" s="200"/>
      <c r="D102" s="200"/>
      <c r="E102" s="201"/>
      <c r="F102" s="45"/>
      <c r="G102" s="45"/>
      <c r="H102" s="45"/>
      <c r="I102" s="38"/>
      <c r="J102" s="46"/>
      <c r="K102" s="111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ht="18" customHeight="1">
      <c r="A103" s="48">
        <v>6</v>
      </c>
      <c r="B103" s="49" t="s">
        <v>174</v>
      </c>
      <c r="C103" s="45" t="s">
        <v>219</v>
      </c>
      <c r="D103" s="45">
        <v>30391</v>
      </c>
      <c r="E103" s="45"/>
      <c r="F103" s="45">
        <f>SUM(F104:F117)</f>
        <v>427.1</v>
      </c>
      <c r="G103" s="45">
        <f>SUM(G104:G117)</f>
        <v>139.42000000000002</v>
      </c>
      <c r="H103" s="45">
        <v>1979</v>
      </c>
      <c r="I103" s="133" t="s">
        <v>353</v>
      </c>
      <c r="J103" s="46">
        <v>2009</v>
      </c>
      <c r="K103" s="111"/>
      <c r="L103" s="47" t="s">
        <v>416</v>
      </c>
      <c r="M103" s="47"/>
      <c r="N103" s="47"/>
      <c r="O103" s="47"/>
      <c r="P103" s="47"/>
      <c r="Q103" s="47"/>
      <c r="R103" s="47" t="s">
        <v>400</v>
      </c>
      <c r="S103" s="47"/>
      <c r="T103" s="47"/>
      <c r="U103" s="47"/>
      <c r="V103" s="47"/>
    </row>
    <row r="104" spans="1:22" ht="72.75">
      <c r="A104" s="48"/>
      <c r="B104" s="50" t="s">
        <v>216</v>
      </c>
      <c r="C104" s="45"/>
      <c r="D104" s="45"/>
      <c r="E104" s="45"/>
      <c r="F104" s="45"/>
      <c r="G104" s="45"/>
      <c r="H104" s="45"/>
      <c r="I104" s="133"/>
      <c r="J104" s="46"/>
      <c r="K104" s="111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ht="15">
      <c r="A105" s="48"/>
      <c r="B105" s="49" t="s">
        <v>324</v>
      </c>
      <c r="C105" s="45"/>
      <c r="D105" s="45"/>
      <c r="E105" s="45"/>
      <c r="F105" s="45"/>
      <c r="G105" s="45"/>
      <c r="H105" s="45"/>
      <c r="I105" s="133"/>
      <c r="J105" s="46"/>
      <c r="K105" s="111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ht="15">
      <c r="A106" s="48"/>
      <c r="B106" s="49" t="s">
        <v>316</v>
      </c>
      <c r="C106" s="45" t="s">
        <v>317</v>
      </c>
      <c r="D106" s="45"/>
      <c r="E106" s="45"/>
      <c r="F106" s="45">
        <v>3.04</v>
      </c>
      <c r="G106" s="45">
        <v>0.96</v>
      </c>
      <c r="H106" s="45"/>
      <c r="I106" s="133"/>
      <c r="J106" s="46"/>
      <c r="K106" s="111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">
      <c r="A107" s="48"/>
      <c r="B107" s="49" t="s">
        <v>338</v>
      </c>
      <c r="C107" s="45"/>
      <c r="D107" s="45"/>
      <c r="E107" s="45"/>
      <c r="F107" s="45"/>
      <c r="G107" s="45"/>
      <c r="H107" s="45"/>
      <c r="I107" s="133"/>
      <c r="J107" s="46"/>
      <c r="K107" s="111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5">
      <c r="A108" s="48"/>
      <c r="B108" s="49" t="s">
        <v>318</v>
      </c>
      <c r="C108" s="45" t="s">
        <v>526</v>
      </c>
      <c r="D108" s="45"/>
      <c r="E108" s="45"/>
      <c r="F108" s="45"/>
      <c r="G108" s="45">
        <v>2</v>
      </c>
      <c r="H108" s="45"/>
      <c r="I108" s="133"/>
      <c r="J108" s="46"/>
      <c r="K108" s="111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>
      <c r="A109" s="48"/>
      <c r="B109" s="49" t="s">
        <v>319</v>
      </c>
      <c r="C109" s="45" t="s">
        <v>526</v>
      </c>
      <c r="D109" s="45"/>
      <c r="E109" s="45"/>
      <c r="F109" s="45"/>
      <c r="G109" s="45">
        <v>5</v>
      </c>
      <c r="H109" s="45"/>
      <c r="I109" s="133"/>
      <c r="J109" s="46"/>
      <c r="K109" s="111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15">
      <c r="A110" s="48"/>
      <c r="B110" s="49" t="s">
        <v>171</v>
      </c>
      <c r="C110" s="45" t="s">
        <v>175</v>
      </c>
      <c r="D110" s="45"/>
      <c r="E110" s="45"/>
      <c r="F110" s="45">
        <f>(145/1000)*4*50</f>
        <v>28.999999999999996</v>
      </c>
      <c r="G110" s="45">
        <f>(45/1000)*4*50</f>
        <v>9</v>
      </c>
      <c r="H110" s="45"/>
      <c r="I110" s="133"/>
      <c r="J110" s="46"/>
      <c r="K110" s="111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15">
      <c r="A111" s="48"/>
      <c r="B111" s="49" t="s">
        <v>27</v>
      </c>
      <c r="C111" s="45" t="s">
        <v>176</v>
      </c>
      <c r="D111" s="45"/>
      <c r="E111" s="45"/>
      <c r="F111" s="45">
        <f>(20/1000)*11900</f>
        <v>238</v>
      </c>
      <c r="G111" s="45">
        <f>(6/1000)*11900</f>
        <v>71.4</v>
      </c>
      <c r="H111" s="45"/>
      <c r="I111" s="133"/>
      <c r="J111" s="46"/>
      <c r="K111" s="111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5">
      <c r="A112" s="48"/>
      <c r="B112" s="49" t="s">
        <v>29</v>
      </c>
      <c r="C112" s="45" t="s">
        <v>177</v>
      </c>
      <c r="D112" s="45"/>
      <c r="E112" s="45"/>
      <c r="F112" s="45">
        <f>(25/100)*182</f>
        <v>45.5</v>
      </c>
      <c r="G112" s="45">
        <f>(8/100)*182</f>
        <v>14.56</v>
      </c>
      <c r="H112" s="45"/>
      <c r="I112" s="133"/>
      <c r="J112" s="46"/>
      <c r="K112" s="111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5">
      <c r="A113" s="48"/>
      <c r="B113" s="49" t="s">
        <v>204</v>
      </c>
      <c r="C113" s="45" t="s">
        <v>190</v>
      </c>
      <c r="D113" s="45"/>
      <c r="E113" s="45"/>
      <c r="F113" s="45"/>
      <c r="G113" s="45">
        <f>5/10*12</f>
        <v>6</v>
      </c>
      <c r="H113" s="45"/>
      <c r="I113" s="133"/>
      <c r="J113" s="46"/>
      <c r="K113" s="111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5">
      <c r="A114" s="48"/>
      <c r="B114" s="49" t="s">
        <v>184</v>
      </c>
      <c r="C114" s="45" t="s">
        <v>217</v>
      </c>
      <c r="D114" s="45"/>
      <c r="E114" s="45"/>
      <c r="F114" s="45"/>
      <c r="G114" s="45">
        <v>30.5</v>
      </c>
      <c r="H114" s="45"/>
      <c r="I114" s="133"/>
      <c r="J114" s="46"/>
      <c r="K114" s="111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ht="15">
      <c r="A115" s="48"/>
      <c r="B115" s="49" t="s">
        <v>32</v>
      </c>
      <c r="C115" s="45" t="s">
        <v>173</v>
      </c>
      <c r="D115" s="45"/>
      <c r="E115" s="45"/>
      <c r="F115" s="45"/>
      <c r="G115" s="45"/>
      <c r="H115" s="45"/>
      <c r="I115" s="133"/>
      <c r="J115" s="46"/>
      <c r="K115" s="111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5">
      <c r="A116" s="48"/>
      <c r="B116" s="49" t="s">
        <v>185</v>
      </c>
      <c r="C116" s="45" t="s">
        <v>218</v>
      </c>
      <c r="D116" s="45"/>
      <c r="E116" s="45"/>
      <c r="F116" s="45"/>
      <c r="G116" s="45"/>
      <c r="H116" s="45"/>
      <c r="I116" s="133"/>
      <c r="J116" s="46"/>
      <c r="K116" s="111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5">
      <c r="A117" s="48"/>
      <c r="B117" s="49" t="s">
        <v>33</v>
      </c>
      <c r="C117" s="45" t="s">
        <v>178</v>
      </c>
      <c r="D117" s="45"/>
      <c r="E117" s="45"/>
      <c r="F117" s="45">
        <f>8/100*1394.5</f>
        <v>111.56</v>
      </c>
      <c r="G117" s="45"/>
      <c r="H117" s="45"/>
      <c r="I117" s="133"/>
      <c r="J117" s="46"/>
      <c r="K117" s="111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5">
      <c r="A118" s="48">
        <v>9</v>
      </c>
      <c r="B118" s="49" t="s">
        <v>186</v>
      </c>
      <c r="C118" s="45" t="s">
        <v>221</v>
      </c>
      <c r="D118" s="45">
        <v>30732</v>
      </c>
      <c r="E118" s="45"/>
      <c r="F118" s="45">
        <f>SUM(F119:F128)</f>
        <v>69.84</v>
      </c>
      <c r="G118" s="45">
        <f>SUM(G119:G128)</f>
        <v>22.86</v>
      </c>
      <c r="H118" s="45">
        <v>1993</v>
      </c>
      <c r="I118" s="133" t="s">
        <v>353</v>
      </c>
      <c r="J118" s="46">
        <v>2008</v>
      </c>
      <c r="K118" s="111"/>
      <c r="L118" s="47"/>
      <c r="M118" s="47"/>
      <c r="N118" s="47"/>
      <c r="O118" s="47" t="s">
        <v>416</v>
      </c>
      <c r="P118" s="47"/>
      <c r="Q118" s="47"/>
      <c r="R118" s="47"/>
      <c r="S118" s="47"/>
      <c r="T118" s="47"/>
      <c r="U118" s="47" t="s">
        <v>400</v>
      </c>
      <c r="V118" s="47"/>
    </row>
    <row r="119" spans="1:22" ht="39">
      <c r="A119" s="48"/>
      <c r="B119" s="104" t="s">
        <v>220</v>
      </c>
      <c r="C119" s="45"/>
      <c r="D119" s="45"/>
      <c r="E119" s="45"/>
      <c r="F119" s="45"/>
      <c r="G119" s="45"/>
      <c r="H119" s="45"/>
      <c r="I119" s="133"/>
      <c r="J119" s="46"/>
      <c r="K119" s="111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5">
      <c r="A120" s="48"/>
      <c r="B120" s="49" t="s">
        <v>325</v>
      </c>
      <c r="C120" s="45"/>
      <c r="D120" s="45"/>
      <c r="E120" s="45"/>
      <c r="F120" s="45"/>
      <c r="G120" s="45"/>
      <c r="H120" s="45"/>
      <c r="I120" s="133"/>
      <c r="J120" s="46"/>
      <c r="K120" s="111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5">
      <c r="A121" s="48"/>
      <c r="B121" s="49" t="s">
        <v>312</v>
      </c>
      <c r="C121" s="45" t="s">
        <v>172</v>
      </c>
      <c r="D121" s="45"/>
      <c r="E121" s="45"/>
      <c r="F121" s="45">
        <v>15.2</v>
      </c>
      <c r="G121" s="45">
        <v>4.8</v>
      </c>
      <c r="H121" s="45"/>
      <c r="I121" s="133"/>
      <c r="J121" s="46"/>
      <c r="K121" s="111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>
      <c r="A122" s="48"/>
      <c r="B122" s="49" t="s">
        <v>341</v>
      </c>
      <c r="C122" s="45" t="s">
        <v>526</v>
      </c>
      <c r="D122" s="45"/>
      <c r="E122" s="45"/>
      <c r="F122" s="45"/>
      <c r="G122" s="45">
        <v>1</v>
      </c>
      <c r="H122" s="45"/>
      <c r="I122" s="133"/>
      <c r="J122" s="46"/>
      <c r="K122" s="111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15">
      <c r="A123" s="48"/>
      <c r="B123" s="49" t="s">
        <v>180</v>
      </c>
      <c r="C123" s="45" t="s">
        <v>172</v>
      </c>
      <c r="D123" s="45"/>
      <c r="E123" s="45"/>
      <c r="F123" s="45">
        <f>(60/1000)*4*40</f>
        <v>9.6</v>
      </c>
      <c r="G123" s="45">
        <f>(18/1000)*4*40</f>
        <v>2.88</v>
      </c>
      <c r="H123" s="45"/>
      <c r="I123" s="133"/>
      <c r="J123" s="46"/>
      <c r="K123" s="111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15">
      <c r="A124" s="48"/>
      <c r="B124" s="49" t="s">
        <v>187</v>
      </c>
      <c r="C124" s="45" t="s">
        <v>188</v>
      </c>
      <c r="D124" s="45"/>
      <c r="E124" s="45"/>
      <c r="F124" s="45">
        <f>(20/1000)*960</f>
        <v>19.2</v>
      </c>
      <c r="G124" s="45">
        <f>(6/1000)*960</f>
        <v>5.76</v>
      </c>
      <c r="H124" s="45"/>
      <c r="I124" s="133"/>
      <c r="J124" s="46"/>
      <c r="K124" s="111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ht="15">
      <c r="A125" s="48"/>
      <c r="B125" s="49" t="s">
        <v>29</v>
      </c>
      <c r="C125" s="45" t="s">
        <v>189</v>
      </c>
      <c r="D125" s="45"/>
      <c r="E125" s="45"/>
      <c r="F125" s="45">
        <f>(25/100)*24</f>
        <v>6</v>
      </c>
      <c r="G125" s="45">
        <f>(8/100)*24</f>
        <v>1.92</v>
      </c>
      <c r="H125" s="45"/>
      <c r="I125" s="133"/>
      <c r="J125" s="46"/>
      <c r="K125" s="111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ht="15">
      <c r="A126" s="48"/>
      <c r="B126" s="49" t="s">
        <v>31</v>
      </c>
      <c r="C126" s="45" t="s">
        <v>179</v>
      </c>
      <c r="D126" s="45"/>
      <c r="E126" s="45"/>
      <c r="F126" s="45"/>
      <c r="G126" s="45">
        <v>6.5</v>
      </c>
      <c r="H126" s="45"/>
      <c r="I126" s="133"/>
      <c r="J126" s="46"/>
      <c r="K126" s="111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ht="15">
      <c r="A127" s="48"/>
      <c r="B127" s="49" t="s">
        <v>32</v>
      </c>
      <c r="C127" s="45" t="s">
        <v>179</v>
      </c>
      <c r="D127" s="45"/>
      <c r="E127" s="45"/>
      <c r="F127" s="45"/>
      <c r="G127" s="45"/>
      <c r="H127" s="45"/>
      <c r="I127" s="133"/>
      <c r="J127" s="46"/>
      <c r="K127" s="111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ht="15">
      <c r="A128" s="48"/>
      <c r="B128" s="49" t="s">
        <v>33</v>
      </c>
      <c r="C128" s="45" t="s">
        <v>191</v>
      </c>
      <c r="D128" s="45"/>
      <c r="E128" s="45"/>
      <c r="F128" s="45">
        <f>8/100*248</f>
        <v>19.84</v>
      </c>
      <c r="G128" s="45"/>
      <c r="H128" s="45"/>
      <c r="I128" s="133"/>
      <c r="J128" s="46"/>
      <c r="K128" s="111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ht="15">
      <c r="A129" s="48">
        <v>12</v>
      </c>
      <c r="B129" s="49" t="s">
        <v>194</v>
      </c>
      <c r="C129" s="45" t="s">
        <v>510</v>
      </c>
      <c r="D129" s="45"/>
      <c r="E129" s="45"/>
      <c r="F129" s="45">
        <f>SUM(F130:F140)</f>
        <v>91.25999999999999</v>
      </c>
      <c r="G129" s="45">
        <f>SUM(G130:G140)</f>
        <v>29.72</v>
      </c>
      <c r="H129" s="45"/>
      <c r="I129" s="133" t="s">
        <v>353</v>
      </c>
      <c r="J129" s="46">
        <v>2012</v>
      </c>
      <c r="K129" s="111" t="s">
        <v>416</v>
      </c>
      <c r="L129" s="47"/>
      <c r="M129" s="47"/>
      <c r="N129" s="47"/>
      <c r="O129" s="47"/>
      <c r="P129" s="47"/>
      <c r="Q129" s="47" t="s">
        <v>400</v>
      </c>
      <c r="R129" s="47"/>
      <c r="S129" s="47"/>
      <c r="T129" s="47"/>
      <c r="U129" s="47"/>
      <c r="V129" s="47"/>
    </row>
    <row r="130" spans="1:22" ht="48.75">
      <c r="A130" s="48"/>
      <c r="B130" s="50" t="s">
        <v>223</v>
      </c>
      <c r="C130" s="45"/>
      <c r="D130" s="45"/>
      <c r="E130" s="45"/>
      <c r="F130" s="45"/>
      <c r="G130" s="45"/>
      <c r="H130" s="45"/>
      <c r="I130" s="133"/>
      <c r="J130" s="46"/>
      <c r="K130" s="111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ht="15">
      <c r="A131" s="48"/>
      <c r="B131" s="49" t="s">
        <v>327</v>
      </c>
      <c r="C131" s="45"/>
      <c r="D131" s="45"/>
      <c r="E131" s="45"/>
      <c r="F131" s="45"/>
      <c r="G131" s="45"/>
      <c r="H131" s="45"/>
      <c r="I131" s="133"/>
      <c r="J131" s="46"/>
      <c r="K131" s="111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ht="15">
      <c r="A132" s="48"/>
      <c r="B132" s="49" t="s">
        <v>328</v>
      </c>
      <c r="C132" s="45" t="s">
        <v>14</v>
      </c>
      <c r="D132" s="45"/>
      <c r="E132" s="45"/>
      <c r="F132" s="45">
        <v>4.8</v>
      </c>
      <c r="G132" s="45">
        <v>1.44</v>
      </c>
      <c r="H132" s="45"/>
      <c r="I132" s="133"/>
      <c r="J132" s="46"/>
      <c r="K132" s="111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ht="15">
      <c r="A133" s="48"/>
      <c r="B133" s="49" t="s">
        <v>342</v>
      </c>
      <c r="C133" s="45"/>
      <c r="D133" s="45"/>
      <c r="E133" s="45"/>
      <c r="F133" s="45"/>
      <c r="G133" s="45"/>
      <c r="H133" s="45"/>
      <c r="I133" s="133"/>
      <c r="J133" s="46"/>
      <c r="K133" s="111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">
      <c r="A134" s="48"/>
      <c r="B134" s="49" t="s">
        <v>329</v>
      </c>
      <c r="C134" s="45" t="s">
        <v>526</v>
      </c>
      <c r="D134" s="45"/>
      <c r="E134" s="45"/>
      <c r="F134" s="45"/>
      <c r="G134" s="45">
        <v>1</v>
      </c>
      <c r="H134" s="45"/>
      <c r="I134" s="133"/>
      <c r="J134" s="46"/>
      <c r="K134" s="111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5">
      <c r="A135" s="48"/>
      <c r="B135" s="49" t="s">
        <v>198</v>
      </c>
      <c r="C135" s="45" t="s">
        <v>199</v>
      </c>
      <c r="D135" s="45"/>
      <c r="E135" s="45"/>
      <c r="F135" s="45">
        <f>(60/1000)*4*150</f>
        <v>36</v>
      </c>
      <c r="G135" s="45">
        <f>(18/1000)*4*150</f>
        <v>10.799999999999999</v>
      </c>
      <c r="H135" s="45"/>
      <c r="I135" s="133"/>
      <c r="J135" s="46"/>
      <c r="K135" s="111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>
      <c r="A136" s="48"/>
      <c r="B136" s="49" t="s">
        <v>27</v>
      </c>
      <c r="C136" s="45" t="s">
        <v>200</v>
      </c>
      <c r="D136" s="45"/>
      <c r="E136" s="45"/>
      <c r="F136" s="45">
        <f>(20/1000)*1150</f>
        <v>23</v>
      </c>
      <c r="G136" s="45">
        <f>(6/1000)*1150</f>
        <v>6.9</v>
      </c>
      <c r="H136" s="45"/>
      <c r="I136" s="133"/>
      <c r="J136" s="46"/>
      <c r="K136" s="111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15">
      <c r="A137" s="48"/>
      <c r="B137" s="49" t="s">
        <v>29</v>
      </c>
      <c r="C137" s="45" t="s">
        <v>182</v>
      </c>
      <c r="D137" s="45"/>
      <c r="E137" s="45"/>
      <c r="F137" s="45">
        <f>(25/100)*26</f>
        <v>6.5</v>
      </c>
      <c r="G137" s="45">
        <f>(8/100)*26</f>
        <v>2.08</v>
      </c>
      <c r="H137" s="45"/>
      <c r="I137" s="133"/>
      <c r="J137" s="46"/>
      <c r="K137" s="111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15">
      <c r="A138" s="48"/>
      <c r="B138" s="49" t="s">
        <v>184</v>
      </c>
      <c r="C138" s="45" t="s">
        <v>202</v>
      </c>
      <c r="D138" s="45"/>
      <c r="E138" s="45"/>
      <c r="F138" s="45"/>
      <c r="G138" s="45">
        <v>7.5</v>
      </c>
      <c r="H138" s="45"/>
      <c r="I138" s="133"/>
      <c r="J138" s="46"/>
      <c r="K138" s="111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ht="15">
      <c r="A139" s="48"/>
      <c r="B139" s="49" t="s">
        <v>185</v>
      </c>
      <c r="C139" s="45" t="s">
        <v>202</v>
      </c>
      <c r="D139" s="45"/>
      <c r="E139" s="45"/>
      <c r="F139" s="45"/>
      <c r="G139" s="45"/>
      <c r="H139" s="45"/>
      <c r="I139" s="133"/>
      <c r="J139" s="46"/>
      <c r="K139" s="111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ht="15">
      <c r="A140" s="48"/>
      <c r="B140" s="49" t="s">
        <v>33</v>
      </c>
      <c r="C140" s="45" t="s">
        <v>183</v>
      </c>
      <c r="D140" s="45"/>
      <c r="E140" s="45"/>
      <c r="F140" s="45">
        <f>8/100*262</f>
        <v>20.96</v>
      </c>
      <c r="G140" s="45"/>
      <c r="H140" s="45"/>
      <c r="I140" s="133"/>
      <c r="J140" s="46"/>
      <c r="K140" s="111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ht="15">
      <c r="A141" s="48">
        <v>13</v>
      </c>
      <c r="B141" s="49" t="s">
        <v>197</v>
      </c>
      <c r="C141" s="45"/>
      <c r="D141" s="45"/>
      <c r="E141" s="45"/>
      <c r="F141" s="45">
        <f>SUM(F143:F154)</f>
        <v>58.4</v>
      </c>
      <c r="G141" s="45">
        <f>SUM(G143:G154)</f>
        <v>19.14</v>
      </c>
      <c r="H141" s="45"/>
      <c r="I141" s="133" t="s">
        <v>353</v>
      </c>
      <c r="J141" s="46">
        <v>2008</v>
      </c>
      <c r="K141" s="111"/>
      <c r="L141" s="47" t="s">
        <v>400</v>
      </c>
      <c r="M141" s="47"/>
      <c r="N141" s="47"/>
      <c r="O141" s="47"/>
      <c r="P141" s="47"/>
      <c r="Q141" s="47"/>
      <c r="R141" s="47" t="s">
        <v>416</v>
      </c>
      <c r="S141" s="47"/>
      <c r="T141" s="47"/>
      <c r="U141" s="47"/>
      <c r="V141" s="47"/>
    </row>
    <row r="142" spans="1:22" ht="36.75">
      <c r="A142" s="6"/>
      <c r="B142" s="18" t="s">
        <v>224</v>
      </c>
      <c r="C142" s="3"/>
      <c r="D142" s="3"/>
      <c r="E142" s="3"/>
      <c r="F142" s="3"/>
      <c r="G142" s="3"/>
      <c r="H142" s="3"/>
      <c r="I142" s="132"/>
      <c r="J142" s="4"/>
      <c r="K142" s="107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24.75">
      <c r="A143" s="48"/>
      <c r="B143" s="50" t="s">
        <v>340</v>
      </c>
      <c r="C143" s="45"/>
      <c r="D143" s="45"/>
      <c r="E143" s="45"/>
      <c r="F143" s="45"/>
      <c r="G143" s="45"/>
      <c r="H143" s="45"/>
      <c r="I143" s="133"/>
      <c r="J143" s="46"/>
      <c r="K143" s="111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">
      <c r="A144" s="48"/>
      <c r="B144" s="49" t="s">
        <v>330</v>
      </c>
      <c r="C144" s="45"/>
      <c r="D144" s="45"/>
      <c r="E144" s="45"/>
      <c r="F144" s="45"/>
      <c r="G144" s="45"/>
      <c r="H144" s="45"/>
      <c r="I144" s="133"/>
      <c r="J144" s="46"/>
      <c r="K144" s="111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5">
      <c r="A145" s="48"/>
      <c r="B145" s="49" t="s">
        <v>312</v>
      </c>
      <c r="C145" s="45" t="s">
        <v>14</v>
      </c>
      <c r="D145" s="45"/>
      <c r="E145" s="45"/>
      <c r="F145" s="45">
        <v>4.8</v>
      </c>
      <c r="G145" s="45">
        <v>1.44</v>
      </c>
      <c r="H145" s="45"/>
      <c r="I145" s="133"/>
      <c r="J145" s="46"/>
      <c r="K145" s="111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>
      <c r="A146" s="48"/>
      <c r="B146" s="49" t="s">
        <v>345</v>
      </c>
      <c r="C146" s="45"/>
      <c r="D146" s="45"/>
      <c r="E146" s="45"/>
      <c r="F146" s="45"/>
      <c r="G146" s="45"/>
      <c r="H146" s="45"/>
      <c r="I146" s="133"/>
      <c r="J146" s="46"/>
      <c r="K146" s="111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15">
      <c r="A147" s="48"/>
      <c r="B147" s="49" t="s">
        <v>344</v>
      </c>
      <c r="C147" s="45" t="s">
        <v>526</v>
      </c>
      <c r="D147" s="45"/>
      <c r="E147" s="45"/>
      <c r="F147" s="45"/>
      <c r="G147" s="45">
        <v>1</v>
      </c>
      <c r="H147" s="45"/>
      <c r="I147" s="133"/>
      <c r="J147" s="46"/>
      <c r="K147" s="111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15">
      <c r="A148" s="48"/>
      <c r="B148" s="49" t="s">
        <v>35</v>
      </c>
      <c r="C148" s="45" t="s">
        <v>175</v>
      </c>
      <c r="D148" s="45"/>
      <c r="E148" s="45"/>
      <c r="F148" s="45">
        <f>(95/1000)*4*50</f>
        <v>19</v>
      </c>
      <c r="G148" s="45">
        <f>(30/1000)*4*50</f>
        <v>6</v>
      </c>
      <c r="H148" s="45"/>
      <c r="I148" s="133"/>
      <c r="J148" s="46"/>
      <c r="K148" s="111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ht="15">
      <c r="A149" s="48"/>
      <c r="B149" s="49" t="s">
        <v>27</v>
      </c>
      <c r="C149" s="45" t="s">
        <v>195</v>
      </c>
      <c r="D149" s="45"/>
      <c r="E149" s="45"/>
      <c r="F149" s="45">
        <f>(20/1000)*600</f>
        <v>12</v>
      </c>
      <c r="G149" s="45">
        <f>(6/1000)*600</f>
        <v>3.6</v>
      </c>
      <c r="H149" s="45"/>
      <c r="I149" s="133"/>
      <c r="J149" s="46"/>
      <c r="K149" s="111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ht="15">
      <c r="A150" s="48"/>
      <c r="B150" s="49" t="s">
        <v>29</v>
      </c>
      <c r="C150" s="45" t="s">
        <v>14</v>
      </c>
      <c r="D150" s="45"/>
      <c r="E150" s="45"/>
      <c r="F150" s="45">
        <f>(25/100)*20</f>
        <v>5</v>
      </c>
      <c r="G150" s="45">
        <f>(8/100)*20</f>
        <v>1.6</v>
      </c>
      <c r="H150" s="45"/>
      <c r="I150" s="133"/>
      <c r="J150" s="46"/>
      <c r="K150" s="111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ht="15">
      <c r="A151" s="48"/>
      <c r="B151" s="49" t="s">
        <v>204</v>
      </c>
      <c r="C151" s="45" t="s">
        <v>222</v>
      </c>
      <c r="D151" s="45"/>
      <c r="E151" s="45"/>
      <c r="F151" s="45"/>
      <c r="G151" s="45">
        <f>5/10*2</f>
        <v>1</v>
      </c>
      <c r="H151" s="45"/>
      <c r="I151" s="133"/>
      <c r="J151" s="46"/>
      <c r="K151" s="111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ht="15">
      <c r="A152" s="48"/>
      <c r="B152" s="49" t="s">
        <v>31</v>
      </c>
      <c r="C152" s="45" t="s">
        <v>193</v>
      </c>
      <c r="D152" s="45"/>
      <c r="E152" s="45"/>
      <c r="F152" s="45"/>
      <c r="G152" s="45">
        <v>4.5</v>
      </c>
      <c r="H152" s="45"/>
      <c r="I152" s="133"/>
      <c r="J152" s="46"/>
      <c r="K152" s="111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ht="15">
      <c r="A153" s="48"/>
      <c r="B153" s="49" t="s">
        <v>32</v>
      </c>
      <c r="C153" s="45" t="s">
        <v>193</v>
      </c>
      <c r="D153" s="45"/>
      <c r="E153" s="45"/>
      <c r="F153" s="45"/>
      <c r="G153" s="45"/>
      <c r="H153" s="45"/>
      <c r="I153" s="133"/>
      <c r="J153" s="46"/>
      <c r="K153" s="111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ht="15">
      <c r="A154" s="48"/>
      <c r="B154" s="49" t="s">
        <v>33</v>
      </c>
      <c r="C154" s="45" t="s">
        <v>196</v>
      </c>
      <c r="D154" s="45"/>
      <c r="E154" s="45"/>
      <c r="F154" s="45">
        <f>8/100*220</f>
        <v>17.6</v>
      </c>
      <c r="G154" s="45"/>
      <c r="H154" s="45"/>
      <c r="I154" s="133"/>
      <c r="J154" s="46"/>
      <c r="K154" s="111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5">
      <c r="A155" s="48">
        <v>1</v>
      </c>
      <c r="B155" s="49" t="s">
        <v>24</v>
      </c>
      <c r="C155" s="45" t="s">
        <v>206</v>
      </c>
      <c r="D155" s="45">
        <v>30325</v>
      </c>
      <c r="E155" s="45"/>
      <c r="F155" s="45">
        <f>SUM(F156:F169)</f>
        <v>199</v>
      </c>
      <c r="G155" s="45">
        <f>SUM(G156:G169)</f>
        <v>66.24000000000001</v>
      </c>
      <c r="H155" s="45">
        <v>1975</v>
      </c>
      <c r="I155" s="133" t="s">
        <v>353</v>
      </c>
      <c r="J155" s="46">
        <v>2005</v>
      </c>
      <c r="K155" s="111" t="s">
        <v>399</v>
      </c>
      <c r="L155" s="47"/>
      <c r="M155" s="47"/>
      <c r="N155" s="47"/>
      <c r="O155" s="47"/>
      <c r="P155" s="47"/>
      <c r="Q155" s="47" t="s">
        <v>416</v>
      </c>
      <c r="R155" s="47"/>
      <c r="S155" s="47"/>
      <c r="T155" s="47"/>
      <c r="U155" s="47"/>
      <c r="V155" s="47"/>
    </row>
    <row r="156" spans="1:22" ht="15">
      <c r="A156" s="48"/>
      <c r="B156" s="49" t="s">
        <v>311</v>
      </c>
      <c r="C156" s="45"/>
      <c r="D156" s="45"/>
      <c r="E156" s="45"/>
      <c r="F156" s="45"/>
      <c r="G156" s="45"/>
      <c r="H156" s="45"/>
      <c r="I156" s="133"/>
      <c r="J156" s="46"/>
      <c r="K156" s="111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ht="15">
      <c r="A157" s="48"/>
      <c r="B157" s="49" t="s">
        <v>315</v>
      </c>
      <c r="C157" s="45"/>
      <c r="D157" s="45"/>
      <c r="E157" s="45"/>
      <c r="F157" s="45"/>
      <c r="G157" s="45"/>
      <c r="H157" s="45"/>
      <c r="I157" s="133"/>
      <c r="J157" s="46"/>
      <c r="K157" s="111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ht="15">
      <c r="A158" s="48"/>
      <c r="B158" s="49" t="s">
        <v>312</v>
      </c>
      <c r="C158" s="45" t="s">
        <v>236</v>
      </c>
      <c r="D158" s="45"/>
      <c r="E158" s="45"/>
      <c r="F158" s="45">
        <v>11.4</v>
      </c>
      <c r="G158" s="45">
        <v>3.6</v>
      </c>
      <c r="H158" s="45"/>
      <c r="I158" s="133"/>
      <c r="J158" s="46"/>
      <c r="K158" s="111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ht="15">
      <c r="A159" s="48"/>
      <c r="B159" s="49" t="s">
        <v>336</v>
      </c>
      <c r="C159" s="45"/>
      <c r="D159" s="45"/>
      <c r="E159" s="45"/>
      <c r="F159" s="45"/>
      <c r="G159" s="45"/>
      <c r="H159" s="45"/>
      <c r="I159" s="133"/>
      <c r="J159" s="46"/>
      <c r="K159" s="111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ht="15">
      <c r="A160" s="48"/>
      <c r="B160" s="49" t="s">
        <v>313</v>
      </c>
      <c r="C160" s="45" t="s">
        <v>526</v>
      </c>
      <c r="D160" s="45"/>
      <c r="E160" s="45"/>
      <c r="F160" s="45"/>
      <c r="G160" s="45">
        <v>1</v>
      </c>
      <c r="H160" s="45"/>
      <c r="I160" s="133"/>
      <c r="J160" s="46"/>
      <c r="K160" s="111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ht="15">
      <c r="A161" s="48"/>
      <c r="B161" s="49" t="s">
        <v>337</v>
      </c>
      <c r="C161" s="45"/>
      <c r="D161" s="45"/>
      <c r="E161" s="45"/>
      <c r="F161" s="45"/>
      <c r="G161" s="45"/>
      <c r="H161" s="45"/>
      <c r="I161" s="133"/>
      <c r="J161" s="46"/>
      <c r="K161" s="111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ht="15">
      <c r="A162" s="48"/>
      <c r="B162" s="49" t="s">
        <v>314</v>
      </c>
      <c r="C162" s="45" t="s">
        <v>526</v>
      </c>
      <c r="D162" s="45"/>
      <c r="E162" s="45"/>
      <c r="F162" s="45"/>
      <c r="G162" s="45">
        <v>4</v>
      </c>
      <c r="H162" s="45"/>
      <c r="I162" s="133"/>
      <c r="J162" s="46"/>
      <c r="K162" s="111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ht="15">
      <c r="A163" s="48"/>
      <c r="B163" s="49" t="s">
        <v>26</v>
      </c>
      <c r="C163" s="45" t="s">
        <v>16</v>
      </c>
      <c r="D163" s="45"/>
      <c r="E163" s="45"/>
      <c r="F163" s="45">
        <f>(60/1000)*4*450</f>
        <v>108</v>
      </c>
      <c r="G163" s="45">
        <f>(18/1000)*4*450</f>
        <v>32.4</v>
      </c>
      <c r="H163" s="45"/>
      <c r="I163" s="133"/>
      <c r="J163" s="46"/>
      <c r="K163" s="111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ht="15">
      <c r="A164" s="48"/>
      <c r="B164" s="49" t="s">
        <v>27</v>
      </c>
      <c r="C164" s="45" t="s">
        <v>28</v>
      </c>
      <c r="D164" s="45"/>
      <c r="E164" s="45"/>
      <c r="F164" s="45">
        <f>(20/1000)*2400</f>
        <v>48</v>
      </c>
      <c r="G164" s="45">
        <f>(6/1000)*2400</f>
        <v>14.4</v>
      </c>
      <c r="H164" s="45"/>
      <c r="I164" s="133"/>
      <c r="J164" s="46"/>
      <c r="K164" s="111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ht="15">
      <c r="A165" s="48"/>
      <c r="B165" s="49" t="s">
        <v>29</v>
      </c>
      <c r="C165" s="45" t="s">
        <v>30</v>
      </c>
      <c r="D165" s="45"/>
      <c r="E165" s="45"/>
      <c r="F165" s="45">
        <v>6.12</v>
      </c>
      <c r="G165" s="45">
        <v>1.84</v>
      </c>
      <c r="H165" s="45"/>
      <c r="I165" s="133"/>
      <c r="J165" s="46"/>
      <c r="K165" s="111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ht="15">
      <c r="A166" s="48"/>
      <c r="B166" s="49" t="s">
        <v>204</v>
      </c>
      <c r="C166" s="45" t="s">
        <v>526</v>
      </c>
      <c r="D166" s="45"/>
      <c r="E166" s="45"/>
      <c r="F166" s="45"/>
      <c r="G166" s="45">
        <f>5/10*1</f>
        <v>0.5</v>
      </c>
      <c r="H166" s="45"/>
      <c r="I166" s="133"/>
      <c r="J166" s="46"/>
      <c r="K166" s="111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5">
      <c r="A167" s="48"/>
      <c r="B167" s="49" t="s">
        <v>31</v>
      </c>
      <c r="C167" s="45" t="s">
        <v>25</v>
      </c>
      <c r="D167" s="45"/>
      <c r="E167" s="45"/>
      <c r="F167" s="45"/>
      <c r="G167" s="45">
        <v>8.5</v>
      </c>
      <c r="H167" s="45"/>
      <c r="I167" s="133"/>
      <c r="J167" s="46"/>
      <c r="K167" s="111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15">
      <c r="A168" s="48"/>
      <c r="B168" s="49" t="s">
        <v>32</v>
      </c>
      <c r="C168" s="45" t="s">
        <v>25</v>
      </c>
      <c r="D168" s="45"/>
      <c r="E168" s="45"/>
      <c r="F168" s="45"/>
      <c r="G168" s="45"/>
      <c r="H168" s="45"/>
      <c r="I168" s="133"/>
      <c r="J168" s="46"/>
      <c r="K168" s="111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15">
      <c r="A169" s="48"/>
      <c r="B169" s="49" t="s">
        <v>33</v>
      </c>
      <c r="C169" s="45" t="s">
        <v>34</v>
      </c>
      <c r="D169" s="45"/>
      <c r="E169" s="45"/>
      <c r="F169" s="45">
        <f>8/100*318.5</f>
        <v>25.48</v>
      </c>
      <c r="G169" s="45"/>
      <c r="H169" s="45"/>
      <c r="I169" s="133"/>
      <c r="J169" s="46"/>
      <c r="K169" s="111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</sheetData>
  <sheetProtection/>
  <mergeCells count="31">
    <mergeCell ref="A82:E82"/>
    <mergeCell ref="A85:E85"/>
    <mergeCell ref="A90:E90"/>
    <mergeCell ref="A93:E93"/>
    <mergeCell ref="A102:E102"/>
    <mergeCell ref="A63:E63"/>
    <mergeCell ref="G63:J63"/>
    <mergeCell ref="A77:E77"/>
    <mergeCell ref="F77:I77"/>
    <mergeCell ref="A68:E68"/>
    <mergeCell ref="F68:I68"/>
    <mergeCell ref="A70:E70"/>
    <mergeCell ref="F70:I70"/>
    <mergeCell ref="A15:E15"/>
    <mergeCell ref="F15:I15"/>
    <mergeCell ref="A48:E48"/>
    <mergeCell ref="F48:H48"/>
    <mergeCell ref="C1:C2"/>
    <mergeCell ref="D1:D2"/>
    <mergeCell ref="A10:E10"/>
    <mergeCell ref="F10:I10"/>
    <mergeCell ref="J1:J2"/>
    <mergeCell ref="K1:V1"/>
    <mergeCell ref="A3:E3"/>
    <mergeCell ref="F3:I3"/>
    <mergeCell ref="E1:E2"/>
    <mergeCell ref="F1:G1"/>
    <mergeCell ref="H1:H2"/>
    <mergeCell ref="I1:I2"/>
    <mergeCell ref="A1:A2"/>
    <mergeCell ref="B1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228" t="s">
        <v>391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0.25">
      <c r="A3" s="227" t="s">
        <v>363</v>
      </c>
      <c r="B3" s="227"/>
      <c r="C3" s="227"/>
      <c r="D3" s="227"/>
      <c r="E3" s="223" t="s">
        <v>364</v>
      </c>
      <c r="F3" s="223"/>
      <c r="G3" s="223"/>
      <c r="H3" s="223"/>
      <c r="I3" s="223"/>
      <c r="J3" s="223"/>
      <c r="K3" s="33"/>
      <c r="L3" s="23" t="s">
        <v>275</v>
      </c>
      <c r="M3" s="33"/>
      <c r="N3" s="23" t="s">
        <v>263</v>
      </c>
      <c r="O3" s="23"/>
      <c r="P3" s="221" t="s">
        <v>278</v>
      </c>
      <c r="Q3" s="221"/>
      <c r="R3" s="23"/>
    </row>
    <row r="4" spans="1:20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0" t="s">
        <v>268</v>
      </c>
      <c r="Q4" s="230"/>
      <c r="R4" s="230"/>
      <c r="S4" s="230"/>
      <c r="T4" s="230"/>
    </row>
    <row r="5" spans="1:20" ht="20.25">
      <c r="A5" s="30" t="s">
        <v>279</v>
      </c>
      <c r="B5" s="24" t="s">
        <v>269</v>
      </c>
      <c r="C5" s="24"/>
      <c r="D5" s="25"/>
      <c r="E5" s="24"/>
      <c r="F5" s="229"/>
      <c r="G5" s="229"/>
      <c r="H5" s="26"/>
      <c r="I5" s="26"/>
      <c r="J5" s="24"/>
      <c r="K5" s="24"/>
      <c r="L5" s="24"/>
      <c r="M5" s="24"/>
      <c r="N5" s="23"/>
      <c r="O5" s="23"/>
      <c r="P5" s="230"/>
      <c r="Q5" s="230"/>
      <c r="R5" s="230"/>
      <c r="S5" s="230"/>
      <c r="T5" s="230"/>
    </row>
    <row r="6" spans="1:18" ht="18.75">
      <c r="A6" s="23"/>
      <c r="B6" s="23"/>
      <c r="C6" s="23"/>
      <c r="D6" s="23"/>
      <c r="E6" s="23"/>
      <c r="F6" s="23"/>
      <c r="G6" s="23"/>
      <c r="H6" s="23"/>
      <c r="I6" s="27"/>
      <c r="J6" s="23"/>
      <c r="K6" s="23"/>
      <c r="L6" s="23"/>
      <c r="M6" s="23"/>
      <c r="N6" s="23"/>
      <c r="O6" s="23"/>
      <c r="P6" s="23"/>
      <c r="Q6" s="23"/>
      <c r="R6" s="23"/>
    </row>
    <row r="7" spans="1:18" ht="20.25">
      <c r="A7" s="30" t="s">
        <v>279</v>
      </c>
      <c r="B7" s="30" t="e">
        <f>'Свод 2016'!C141</f>
        <v>#REF!</v>
      </c>
      <c r="C7" s="30" t="s">
        <v>265</v>
      </c>
      <c r="D7" s="30" t="e">
        <f>'Свод 2016'!C143</f>
        <v>#REF!</v>
      </c>
      <c r="E7" s="30" t="s">
        <v>264</v>
      </c>
      <c r="F7" s="221" t="e">
        <f>B7+D7</f>
        <v>#REF!</v>
      </c>
      <c r="G7" s="221"/>
      <c r="H7" s="221"/>
      <c r="I7" s="24" t="s">
        <v>266</v>
      </c>
      <c r="J7" s="30"/>
      <c r="K7" s="23"/>
      <c r="L7" s="23"/>
      <c r="M7" s="23"/>
      <c r="N7" s="23"/>
      <c r="O7" s="23"/>
      <c r="P7" s="23"/>
      <c r="Q7" s="23"/>
      <c r="R7" s="23"/>
    </row>
    <row r="8" spans="1:18" ht="20.25">
      <c r="A8" s="223" t="s">
        <v>267</v>
      </c>
      <c r="B8" s="222" t="s">
        <v>270</v>
      </c>
      <c r="C8" s="222"/>
      <c r="D8" s="222"/>
      <c r="E8" s="226" t="s">
        <v>443</v>
      </c>
      <c r="F8" s="236" t="s">
        <v>280</v>
      </c>
      <c r="G8" s="236"/>
      <c r="H8" s="236"/>
      <c r="I8" s="236"/>
      <c r="J8" s="236"/>
      <c r="K8" s="236"/>
      <c r="L8" s="236"/>
      <c r="M8" s="236"/>
      <c r="N8" s="23"/>
      <c r="O8" s="235"/>
      <c r="P8" s="235"/>
      <c r="Q8" s="23"/>
      <c r="R8" s="23"/>
    </row>
    <row r="9" spans="1:18" ht="20.25">
      <c r="A9" s="223"/>
      <c r="B9" s="221" t="s">
        <v>273</v>
      </c>
      <c r="C9" s="221"/>
      <c r="D9" s="221"/>
      <c r="E9" s="226"/>
      <c r="F9" s="236"/>
      <c r="G9" s="236"/>
      <c r="H9" s="236"/>
      <c r="I9" s="236"/>
      <c r="J9" s="236"/>
      <c r="K9" s="236"/>
      <c r="L9" s="236"/>
      <c r="M9" s="236"/>
      <c r="N9" s="23"/>
      <c r="O9" s="23"/>
      <c r="P9" s="23"/>
      <c r="Q9" s="23"/>
      <c r="R9" s="23"/>
    </row>
    <row r="10" spans="1:18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8.75">
      <c r="A11" s="223" t="s">
        <v>267</v>
      </c>
      <c r="B11" s="232" t="e">
        <f>F7</f>
        <v>#REF!</v>
      </c>
      <c r="C11" s="232"/>
      <c r="D11" s="232"/>
      <c r="E11" s="226" t="s">
        <v>264</v>
      </c>
      <c r="F11" s="231" t="e">
        <f>(B11+D11)/(B12*D12)</f>
        <v>#REF!</v>
      </c>
      <c r="G11" s="231" t="s">
        <v>372</v>
      </c>
      <c r="H11" s="231"/>
      <c r="I11" s="231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8.75">
      <c r="A12" s="223"/>
      <c r="B12" s="28">
        <v>1</v>
      </c>
      <c r="C12" s="32" t="s">
        <v>272</v>
      </c>
      <c r="D12" s="29">
        <v>1713</v>
      </c>
      <c r="E12" s="226"/>
      <c r="F12" s="231"/>
      <c r="G12" s="231"/>
      <c r="H12" s="231"/>
      <c r="I12" s="231"/>
      <c r="J12" s="23"/>
      <c r="K12" s="23"/>
      <c r="L12" s="23"/>
      <c r="M12" s="24"/>
      <c r="N12" s="24"/>
      <c r="O12" s="23"/>
      <c r="P12" s="23"/>
      <c r="Q12" s="23"/>
      <c r="R12" s="23"/>
    </row>
    <row r="13" spans="1:18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8" ht="20.25">
      <c r="A14" s="233" t="s">
        <v>274</v>
      </c>
      <c r="B14" s="222" t="s">
        <v>276</v>
      </c>
      <c r="C14" s="222"/>
      <c r="D14" s="23"/>
      <c r="E14" s="223" t="s">
        <v>443</v>
      </c>
      <c r="F14" s="227" t="s">
        <v>280</v>
      </c>
      <c r="G14" s="227"/>
      <c r="H14" s="227"/>
      <c r="I14" s="227"/>
      <c r="J14" s="227"/>
      <c r="K14" s="227"/>
      <c r="L14" s="227"/>
      <c r="M14" s="22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4"/>
      <c r="Y14" s="23"/>
      <c r="Z14" s="23"/>
      <c r="AA14" s="23"/>
      <c r="AB14" s="23"/>
    </row>
    <row r="15" spans="1:20" ht="20.25">
      <c r="A15" s="233"/>
      <c r="B15" s="221" t="s">
        <v>277</v>
      </c>
      <c r="C15" s="221"/>
      <c r="D15" s="23"/>
      <c r="E15" s="223"/>
      <c r="F15" s="227"/>
      <c r="G15" s="227"/>
      <c r="H15" s="227"/>
      <c r="I15" s="227"/>
      <c r="J15" s="227"/>
      <c r="K15" s="227"/>
      <c r="L15" s="227"/>
      <c r="M15" s="223"/>
      <c r="N15" s="33"/>
      <c r="O15" s="33"/>
      <c r="P15" s="33"/>
      <c r="Q15" s="33"/>
      <c r="R15" s="33"/>
      <c r="S15" s="33"/>
      <c r="T15" s="33"/>
    </row>
    <row r="16" spans="1:18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>
      <c r="A17" s="223" t="s">
        <v>274</v>
      </c>
      <c r="B17" s="224" t="s">
        <v>365</v>
      </c>
      <c r="C17" s="224"/>
      <c r="D17" s="226" t="s">
        <v>264</v>
      </c>
      <c r="E17" s="234" t="e">
        <f>F7/B18</f>
        <v>#REF!</v>
      </c>
      <c r="F17" s="234"/>
      <c r="G17" s="231" t="s">
        <v>373</v>
      </c>
      <c r="H17" s="231"/>
      <c r="I17" s="231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>
      <c r="A18" s="223"/>
      <c r="B18" s="225">
        <v>1100</v>
      </c>
      <c r="C18" s="225"/>
      <c r="D18" s="226"/>
      <c r="E18" s="234"/>
      <c r="F18" s="234"/>
      <c r="G18" s="231"/>
      <c r="H18" s="231"/>
      <c r="I18" s="231"/>
      <c r="J18" s="23"/>
      <c r="K18" s="23"/>
      <c r="L18" s="23"/>
      <c r="M18" s="23"/>
      <c r="N18" s="23"/>
      <c r="O18" s="23"/>
      <c r="P18" s="23"/>
      <c r="Q18" s="23"/>
      <c r="R18" s="23"/>
    </row>
    <row r="19" spans="11:18" ht="18.75">
      <c r="K19" s="23"/>
      <c r="L19" s="23"/>
      <c r="M19" s="23"/>
      <c r="N19" s="23"/>
      <c r="O19" s="23"/>
      <c r="P19" s="23"/>
      <c r="Q19" s="23"/>
      <c r="R19" s="23"/>
    </row>
    <row r="20" spans="1:18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0.25">
      <c r="A21" s="24" t="s">
        <v>271</v>
      </c>
      <c r="B21" s="24"/>
      <c r="C21" s="24"/>
      <c r="D21" s="24"/>
      <c r="E21" s="27" t="s">
        <v>443</v>
      </c>
      <c r="F21" s="227" t="s">
        <v>280</v>
      </c>
      <c r="G21" s="227"/>
      <c r="H21" s="227"/>
      <c r="I21" s="227"/>
      <c r="J21" s="227"/>
      <c r="K21" s="227"/>
      <c r="L21" s="227"/>
      <c r="M21" s="227"/>
      <c r="N21" s="23"/>
      <c r="O21" s="23"/>
      <c r="P21" s="23"/>
      <c r="Q21" s="23"/>
      <c r="R21" s="23"/>
    </row>
    <row r="22" spans="1:18" ht="18.75">
      <c r="A22" s="24"/>
      <c r="B22" s="24"/>
      <c r="C22" s="24"/>
      <c r="D22" s="24"/>
      <c r="E22" s="27"/>
      <c r="F22" s="31"/>
      <c r="G22" s="31"/>
      <c r="H22" s="31"/>
      <c r="I22" s="31"/>
      <c r="J22" s="31"/>
      <c r="K22" s="31"/>
      <c r="L22" s="31"/>
      <c r="M22" s="31"/>
      <c r="N22" s="23"/>
      <c r="O22" s="23"/>
      <c r="P22" s="23"/>
      <c r="Q22" s="23"/>
      <c r="R22" s="23"/>
    </row>
    <row r="23" spans="1:18" ht="20.25">
      <c r="A23" s="235" t="s">
        <v>374</v>
      </c>
      <c r="B23" s="235"/>
      <c r="C23" s="235"/>
      <c r="D23" s="235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>
      <c r="A24" s="27"/>
      <c r="B24" s="27"/>
      <c r="C24" s="27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8.75">
      <c r="A26" s="221" t="s">
        <v>371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</row>
    <row r="28" spans="1:18" ht="18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33">
    <mergeCell ref="O8:P8"/>
    <mergeCell ref="B9:D9"/>
    <mergeCell ref="F21:M21"/>
    <mergeCell ref="A23:D23"/>
    <mergeCell ref="F8:M9"/>
    <mergeCell ref="E14:E15"/>
    <mergeCell ref="M14:M1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A1:R1"/>
    <mergeCell ref="A3:D3"/>
    <mergeCell ref="F5:G5"/>
    <mergeCell ref="E3:J3"/>
    <mergeCell ref="P3:Q3"/>
    <mergeCell ref="P4:T5"/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Воронин МВ</cp:lastModifiedBy>
  <cp:lastPrinted>2019-11-26T11:08:42Z</cp:lastPrinted>
  <dcterms:created xsi:type="dcterms:W3CDTF">2013-04-03T08:12:15Z</dcterms:created>
  <dcterms:modified xsi:type="dcterms:W3CDTF">2021-08-19T04:56:58Z</dcterms:modified>
  <cp:category/>
  <cp:version/>
  <cp:contentType/>
  <cp:contentStatus/>
</cp:coreProperties>
</file>